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281" windowWidth="12120" windowHeight="9120" tabRatio="603" activeTab="0"/>
  </bookViews>
  <sheets>
    <sheet name="Annex I" sheetId="1" r:id="rId1"/>
    <sheet name="Sheet1" sheetId="2" r:id="rId2"/>
  </sheets>
  <definedNames>
    <definedName name="_xlnm.Print_Area" localSheetId="0">'Annex I'!$A$1:$W$131</definedName>
  </definedNames>
  <calcPr fullCalcOnLoad="1"/>
</workbook>
</file>

<file path=xl/sharedStrings.xml><?xml version="1.0" encoding="utf-8"?>
<sst xmlns="http://schemas.openxmlformats.org/spreadsheetml/2006/main" count="239" uniqueCount="129">
  <si>
    <t>PERSONNEL  COMPONENT</t>
  </si>
  <si>
    <t>01</t>
  </si>
  <si>
    <t>D. 2</t>
  </si>
  <si>
    <t>02</t>
  </si>
  <si>
    <t>P. 5</t>
  </si>
  <si>
    <t>03</t>
  </si>
  <si>
    <t>04</t>
  </si>
  <si>
    <t>P. 4</t>
  </si>
  <si>
    <t>05</t>
  </si>
  <si>
    <t>06</t>
  </si>
  <si>
    <t>07</t>
  </si>
  <si>
    <t>08</t>
  </si>
  <si>
    <t>09</t>
  </si>
  <si>
    <t>10</t>
  </si>
  <si>
    <t>Consultants</t>
  </si>
  <si>
    <t>G.8</t>
  </si>
  <si>
    <t>G.7</t>
  </si>
  <si>
    <t>G.5</t>
  </si>
  <si>
    <t>G.4</t>
  </si>
  <si>
    <t>G.6</t>
  </si>
  <si>
    <t>Communications</t>
  </si>
  <si>
    <t>Sub-Total</t>
  </si>
  <si>
    <t>P. 3</t>
  </si>
  <si>
    <t>11</t>
  </si>
  <si>
    <t>2003</t>
  </si>
  <si>
    <t>Administrative Support Personnel</t>
  </si>
  <si>
    <t>Mission Costs</t>
  </si>
  <si>
    <t>COMPONENT TOTAL</t>
  </si>
  <si>
    <t>GRAND TOTAL</t>
  </si>
  <si>
    <t>EQUIPMENT COMPONENT</t>
  </si>
  <si>
    <t>Expendables</t>
  </si>
  <si>
    <t>Office Stationery</t>
  </si>
  <si>
    <t>Non-Expendable Equipment</t>
  </si>
  <si>
    <t>MISCELLANEOUS COMPONENT</t>
  </si>
  <si>
    <t>Operation and Maintenance of Equipment</t>
  </si>
  <si>
    <t>Reporting Costs</t>
  </si>
  <si>
    <t>Sundries</t>
  </si>
  <si>
    <t>Freight Charges</t>
  </si>
  <si>
    <t>Bank Charges</t>
  </si>
  <si>
    <t>Hospitality costs</t>
  </si>
  <si>
    <t>CONTRACTUAL COMPONENT</t>
  </si>
  <si>
    <t>P.2</t>
  </si>
  <si>
    <t>Travel of Chairperson and Vice-Chairperson</t>
  </si>
  <si>
    <t>MEETING PARTICIPATION COMPONENT</t>
  </si>
  <si>
    <t>2004</t>
  </si>
  <si>
    <t>Travel &amp; DSA for Art 5 delegates to ExCom Meetings</t>
  </si>
  <si>
    <t>Conference Servicing Cost</t>
  </si>
  <si>
    <t>Travel on official business</t>
  </si>
  <si>
    <t>Sub-contracts</t>
  </si>
  <si>
    <t>Premises</t>
  </si>
  <si>
    <t>2005</t>
  </si>
  <si>
    <t>Page 3</t>
  </si>
  <si>
    <t>REVISED</t>
  </si>
  <si>
    <t>2006</t>
  </si>
  <si>
    <t>APPROVED</t>
  </si>
  <si>
    <t>Maintenance of office premises</t>
  </si>
  <si>
    <t>Subcontracts</t>
  </si>
  <si>
    <t xml:space="preserve">Temporary assistance </t>
  </si>
  <si>
    <t>`</t>
  </si>
  <si>
    <t>Increase/decrease</t>
  </si>
  <si>
    <t xml:space="preserve">Previous budget schedule </t>
  </si>
  <si>
    <t>Meeting Services Assistant (G7)</t>
  </si>
  <si>
    <t>Programme Assistant (G8)</t>
  </si>
  <si>
    <t>Computer Operations Assistant (G8)</t>
  </si>
  <si>
    <t>Database Assistant (G8)</t>
  </si>
  <si>
    <t>Secretary, Monitoring &amp; Evaluation (G6)</t>
  </si>
  <si>
    <t>Approved</t>
  </si>
  <si>
    <t>Revised</t>
  </si>
  <si>
    <t>12</t>
  </si>
  <si>
    <t>Secretary/Clerk, Administration (G7)</t>
  </si>
  <si>
    <t xml:space="preserve">Executive Committee (3) </t>
  </si>
  <si>
    <t>Chief Officer (D2)</t>
  </si>
  <si>
    <t>Information Management Officer (P3)</t>
  </si>
  <si>
    <t>Senior Project Management Officer (P5)</t>
  </si>
  <si>
    <t xml:space="preserve">Senior Project Management Officer (P5) </t>
  </si>
  <si>
    <t>Registry Clerk (G5)</t>
  </si>
  <si>
    <t xml:space="preserve">Approved </t>
  </si>
  <si>
    <t>Various Studies</t>
  </si>
  <si>
    <t xml:space="preserve">Telecommunication equipment rental </t>
  </si>
  <si>
    <t xml:space="preserve">Computers, printers </t>
  </si>
  <si>
    <t>C-A</t>
  </si>
  <si>
    <t>**</t>
  </si>
  <si>
    <t xml:space="preserve">additional operational costs </t>
  </si>
  <si>
    <t>13</t>
  </si>
  <si>
    <t>1699</t>
  </si>
  <si>
    <t xml:space="preserve">Network Meetings (4) </t>
  </si>
  <si>
    <t xml:space="preserve">TOTAL ADMINISTRATIVE SUPPORT </t>
  </si>
  <si>
    <t>14</t>
  </si>
  <si>
    <t>Associate HR Officer (P2)</t>
  </si>
  <si>
    <t xml:space="preserve">Executive Committee meetings and reports to MOP </t>
  </si>
  <si>
    <t>Rental of photocopiers (office)</t>
  </si>
  <si>
    <t>Hospitality &amp; Entertainment</t>
  </si>
  <si>
    <t>Staff Training</t>
  </si>
  <si>
    <t>Other expendable equipment (Shelves, Furnitures)</t>
  </si>
  <si>
    <t>Computer  expendable (Software, accessories, hubs, switches, memory)</t>
  </si>
  <si>
    <t>Project Personnel  (Title &amp; Grade)</t>
  </si>
  <si>
    <t>Senior Secretary (G6)</t>
  </si>
  <si>
    <t xml:space="preserve">IMIS Assistant (G6) </t>
  </si>
  <si>
    <t>+/-</t>
  </si>
  <si>
    <t xml:space="preserve">Associate IT Officer (P2) </t>
  </si>
  <si>
    <t>Programme Support Costs (13%)</t>
  </si>
  <si>
    <t>COST TO MULTILATERAL FUND</t>
  </si>
  <si>
    <t>Computers and printers, etc.(toners, colour printer )</t>
  </si>
  <si>
    <t xml:space="preserve">Programme Management Officer (P3) </t>
  </si>
  <si>
    <t>Admin Assistant (G8)</t>
  </si>
  <si>
    <t>Programme Assistant (G6)</t>
  </si>
  <si>
    <t>Meeting Services: ExCom  Montreal</t>
  </si>
  <si>
    <t>Meeting Services: ExCom Montreal</t>
  </si>
  <si>
    <t xml:space="preserve">MCII consultants ((Decision 59/45(f)) </t>
  </si>
  <si>
    <t>Treasury services (Decision 59/51 (b))</t>
  </si>
  <si>
    <t xml:space="preserve">Technical and project review </t>
  </si>
  <si>
    <t>MYA tables access and development (cost to be deducted from the M&amp;E budget) (Decision 59/7(c))</t>
  </si>
  <si>
    <t>Secretary (G6)</t>
  </si>
  <si>
    <t>APPROVED 2010,  2011 AND  2012 BUDGETS OF THE FUND SECRETARIAT</t>
  </si>
  <si>
    <t>* Difference in cost between P4 and P5 is to be charged to BL 2101</t>
  </si>
  <si>
    <r>
      <t>Deputy Chief Officer (D1)</t>
    </r>
  </si>
  <si>
    <t xml:space="preserve">Programme Management Officer  (P3) </t>
  </si>
  <si>
    <t>Senior Admin &amp; Fund Management Officer (P5)*</t>
  </si>
  <si>
    <t xml:space="preserve">Senior Monitoring  and  Evaluation Officer (P5) </t>
  </si>
  <si>
    <t>Network maintenance</t>
  </si>
  <si>
    <t xml:space="preserve">  </t>
  </si>
  <si>
    <t>Note: Personnal costs under 1100 and 1300 will be offset by US $282,212 based on 2009 actual cost differentials between staff cost in Montreal and staff cost in Nairobi.</t>
  </si>
  <si>
    <t>UNEP/OzL.Pro/ExCom/62/L.1</t>
  </si>
  <si>
    <t>Annex ?</t>
  </si>
  <si>
    <t>Page 1</t>
  </si>
  <si>
    <t>Page 2</t>
  </si>
  <si>
    <t>**Based on 2009 actual differentials, the rental costs will be offset by US $484,559 leaving an amount of US $385,723 to be charged to the Fund</t>
  </si>
  <si>
    <t>Rental of office premises**</t>
  </si>
  <si>
    <t>Corporate contracts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</si>
</sst>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(* #,##0.0_);_(* \(#,##0.0\);_(* &quot;-&quot;??_);_(@_)"/>
    <numFmt numFmtId="187" formatCode="_(* #,##0_);_(* \(#,##0\);_(* &quot;-&quot;??_);_(@_)"/>
    <numFmt numFmtId="188" formatCode="0.00000"/>
    <numFmt numFmtId="189" formatCode="0.0000"/>
    <numFmt numFmtId="190" formatCode="0.000"/>
    <numFmt numFmtId="191" formatCode="0.0"/>
    <numFmt numFmtId="192" formatCode="_(* #,##0.000_);_(* \(#,##0.000\);_(* &quot;-&quot;??_);_(@_)"/>
    <numFmt numFmtId="193" formatCode="_(* #,##0.0000_);_(* \(#,##0.0000\);_(* &quot;-&quot;??_);_(@_)"/>
    <numFmt numFmtId="194" formatCode="_(* #,##0.000_);_(* \(#,##0.000\);_(* &quot;-&quot;???_);_(@_)"/>
    <numFmt numFmtId="195" formatCode="_(* #,##0.00000_);_(* \(#,##0.00000\);_(* &quot;-&quot;??_);_(@_)"/>
    <numFmt numFmtId="196" formatCode="#,##0;[Red]\(#,##0\)"/>
    <numFmt numFmtId="197" formatCode="_-* #,##0_-;\-* #,##0_-;_-* &quot;-&quot;??_-;_-@_-"/>
    <numFmt numFmtId="198" formatCode="_-* #,##0.0_-;\-* #,##0.0_-;_-* &quot;-&quot;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$&quot;#,##0.00"/>
  </numFmts>
  <fonts count="4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12"/>
      <name val="Times New Roman"/>
      <family val="0"/>
    </font>
    <font>
      <u val="single"/>
      <sz val="6"/>
      <color indexed="36"/>
      <name val="Times New Roman"/>
      <family val="0"/>
    </font>
    <font>
      <i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4" fillId="0" borderId="10" xfId="42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187" fontId="4" fillId="0" borderId="11" xfId="42" applyNumberFormat="1" applyFont="1" applyFill="1" applyBorder="1" applyAlignment="1">
      <alignment/>
    </xf>
    <xf numFmtId="187" fontId="4" fillId="0" borderId="12" xfId="42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7" fontId="4" fillId="0" borderId="10" xfId="42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87" fontId="4" fillId="0" borderId="15" xfId="42" applyNumberFormat="1" applyFont="1" applyFill="1" applyBorder="1" applyAlignment="1">
      <alignment/>
    </xf>
    <xf numFmtId="0" fontId="4" fillId="0" borderId="13" xfId="0" applyFont="1" applyFill="1" applyBorder="1" applyAlignment="1" quotePrefix="1">
      <alignment/>
    </xf>
    <xf numFmtId="187" fontId="4" fillId="0" borderId="11" xfId="42" applyNumberFormat="1" applyFont="1" applyFill="1" applyBorder="1" applyAlignment="1">
      <alignment/>
    </xf>
    <xf numFmtId="187" fontId="4" fillId="0" borderId="16" xfId="42" applyNumberFormat="1" applyFont="1" applyFill="1" applyBorder="1" applyAlignment="1">
      <alignment/>
    </xf>
    <xf numFmtId="187" fontId="4" fillId="0" borderId="12" xfId="42" applyNumberFormat="1" applyFont="1" applyFill="1" applyBorder="1" applyAlignment="1">
      <alignment/>
    </xf>
    <xf numFmtId="187" fontId="4" fillId="0" borderId="17" xfId="42" applyNumberFormat="1" applyFont="1" applyFill="1" applyBorder="1" applyAlignment="1">
      <alignment/>
    </xf>
    <xf numFmtId="187" fontId="4" fillId="0" borderId="10" xfId="42" applyNumberFormat="1" applyFont="1" applyFill="1" applyBorder="1" applyAlignment="1">
      <alignment/>
    </xf>
    <xf numFmtId="187" fontId="4" fillId="0" borderId="15" xfId="0" applyNumberFormat="1" applyFont="1" applyFill="1" applyBorder="1" applyAlignment="1">
      <alignment/>
    </xf>
    <xf numFmtId="187" fontId="5" fillId="0" borderId="11" xfId="42" applyNumberFormat="1" applyFont="1" applyFill="1" applyBorder="1" applyAlignment="1">
      <alignment/>
    </xf>
    <xf numFmtId="187" fontId="4" fillId="0" borderId="18" xfId="0" applyNumberFormat="1" applyFont="1" applyFill="1" applyBorder="1" applyAlignment="1">
      <alignment/>
    </xf>
    <xf numFmtId="187" fontId="4" fillId="0" borderId="15" xfId="42" applyNumberFormat="1" applyFont="1" applyFill="1" applyBorder="1" applyAlignment="1">
      <alignment/>
    </xf>
    <xf numFmtId="187" fontId="5" fillId="0" borderId="15" xfId="42" applyNumberFormat="1" applyFont="1" applyFill="1" applyBorder="1" applyAlignment="1">
      <alignment/>
    </xf>
    <xf numFmtId="187" fontId="4" fillId="0" borderId="0" xfId="42" applyNumberFormat="1" applyFont="1" applyFill="1" applyBorder="1" applyAlignment="1">
      <alignment/>
    </xf>
    <xf numFmtId="187" fontId="4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9" fontId="4" fillId="0" borderId="15" xfId="42" applyNumberFormat="1" applyFont="1" applyFill="1" applyBorder="1" applyAlignment="1">
      <alignment horizontal="center"/>
    </xf>
    <xf numFmtId="187" fontId="4" fillId="0" borderId="19" xfId="42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187" fontId="5" fillId="0" borderId="0" xfId="42" applyNumberFormat="1" applyFont="1" applyFill="1" applyBorder="1" applyAlignment="1">
      <alignment/>
    </xf>
    <xf numFmtId="187" fontId="5" fillId="0" borderId="20" xfId="42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187" fontId="5" fillId="0" borderId="15" xfId="42" applyNumberFormat="1" applyFont="1" applyFill="1" applyBorder="1" applyAlignment="1">
      <alignment/>
    </xf>
    <xf numFmtId="187" fontId="5" fillId="0" borderId="15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87" fontId="4" fillId="0" borderId="16" xfId="42" applyNumberFormat="1" applyFont="1" applyFill="1" applyBorder="1" applyAlignment="1">
      <alignment/>
    </xf>
    <xf numFmtId="187" fontId="4" fillId="0" borderId="17" xfId="42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4" fillId="0" borderId="13" xfId="4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/>
    </xf>
    <xf numFmtId="187" fontId="4" fillId="0" borderId="19" xfId="0" applyNumberFormat="1" applyFont="1" applyFill="1" applyBorder="1" applyAlignment="1">
      <alignment/>
    </xf>
    <xf numFmtId="49" fontId="4" fillId="0" borderId="19" xfId="42" applyNumberFormat="1" applyFont="1" applyFill="1" applyBorder="1" applyAlignment="1">
      <alignment horizontal="center"/>
    </xf>
    <xf numFmtId="187" fontId="4" fillId="0" borderId="20" xfId="42" applyNumberFormat="1" applyFont="1" applyFill="1" applyBorder="1" applyAlignment="1">
      <alignment/>
    </xf>
    <xf numFmtId="187" fontId="4" fillId="0" borderId="18" xfId="42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87" fontId="4" fillId="0" borderId="23" xfId="42" applyNumberFormat="1" applyFont="1" applyFill="1" applyBorder="1" applyAlignment="1">
      <alignment/>
    </xf>
    <xf numFmtId="187" fontId="5" fillId="0" borderId="23" xfId="42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/>
    </xf>
    <xf numFmtId="187" fontId="4" fillId="0" borderId="15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187" fontId="5" fillId="0" borderId="22" xfId="42" applyNumberFormat="1" applyFont="1" applyFill="1" applyBorder="1" applyAlignment="1">
      <alignment/>
    </xf>
    <xf numFmtId="187" fontId="4" fillId="0" borderId="0" xfId="42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87" fontId="5" fillId="0" borderId="21" xfId="0" applyNumberFormat="1" applyFont="1" applyFill="1" applyBorder="1" applyAlignment="1">
      <alignment/>
    </xf>
    <xf numFmtId="187" fontId="5" fillId="0" borderId="2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0" fontId="5" fillId="0" borderId="0" xfId="42" applyNumberFormat="1" applyFont="1" applyFill="1" applyBorder="1" applyAlignment="1">
      <alignment/>
    </xf>
    <xf numFmtId="187" fontId="5" fillId="0" borderId="19" xfId="42" applyNumberFormat="1" applyFont="1" applyFill="1" applyBorder="1" applyAlignment="1">
      <alignment/>
    </xf>
    <xf numFmtId="49" fontId="4" fillId="0" borderId="13" xfId="42" applyNumberFormat="1" applyFont="1" applyFill="1" applyBorder="1" applyAlignment="1">
      <alignment horizontal="right"/>
    </xf>
    <xf numFmtId="187" fontId="4" fillId="0" borderId="19" xfId="42" applyNumberFormat="1" applyFont="1" applyFill="1" applyBorder="1" applyAlignment="1">
      <alignment horizontal="right"/>
    </xf>
    <xf numFmtId="187" fontId="5" fillId="0" borderId="15" xfId="42" applyNumberFormat="1" applyFont="1" applyFill="1" applyBorder="1" applyAlignment="1">
      <alignment horizontal="right"/>
    </xf>
    <xf numFmtId="187" fontId="4" fillId="0" borderId="16" xfId="42" applyNumberFormat="1" applyFont="1" applyFill="1" applyBorder="1" applyAlignment="1">
      <alignment horizontal="right"/>
    </xf>
    <xf numFmtId="187" fontId="4" fillId="0" borderId="17" xfId="42" applyNumberFormat="1" applyFont="1" applyFill="1" applyBorder="1" applyAlignment="1">
      <alignment horizontal="right"/>
    </xf>
    <xf numFmtId="187" fontId="4" fillId="0" borderId="20" xfId="42" applyNumberFormat="1" applyFont="1" applyFill="1" applyBorder="1" applyAlignment="1">
      <alignment horizontal="right"/>
    </xf>
    <xf numFmtId="187" fontId="4" fillId="0" borderId="23" xfId="42" applyNumberFormat="1" applyFont="1" applyFill="1" applyBorder="1" applyAlignment="1">
      <alignment horizontal="right"/>
    </xf>
    <xf numFmtId="187" fontId="5" fillId="0" borderId="24" xfId="0" applyNumberFormat="1" applyFont="1" applyFill="1" applyBorder="1" applyAlignment="1">
      <alignment horizontal="right"/>
    </xf>
    <xf numFmtId="187" fontId="4" fillId="0" borderId="15" xfId="0" applyNumberFormat="1" applyFont="1" applyFill="1" applyBorder="1" applyAlignment="1">
      <alignment horizontal="right"/>
    </xf>
    <xf numFmtId="187" fontId="5" fillId="0" borderId="15" xfId="0" applyNumberFormat="1" applyFont="1" applyFill="1" applyBorder="1" applyAlignment="1">
      <alignment horizontal="right"/>
    </xf>
    <xf numFmtId="187" fontId="5" fillId="0" borderId="0" xfId="42" applyNumberFormat="1" applyFont="1" applyFill="1" applyBorder="1" applyAlignment="1">
      <alignment horizontal="right"/>
    </xf>
    <xf numFmtId="49" fontId="4" fillId="0" borderId="15" xfId="42" applyNumberFormat="1" applyFont="1" applyFill="1" applyBorder="1" applyAlignment="1">
      <alignment horizontal="right"/>
    </xf>
    <xf numFmtId="187" fontId="5" fillId="0" borderId="22" xfId="42" applyNumberFormat="1" applyFont="1" applyFill="1" applyBorder="1" applyAlignment="1">
      <alignment horizontal="right"/>
    </xf>
    <xf numFmtId="187" fontId="4" fillId="0" borderId="21" xfId="42" applyNumberFormat="1" applyFont="1" applyFill="1" applyBorder="1" applyAlignment="1">
      <alignment/>
    </xf>
    <xf numFmtId="187" fontId="5" fillId="0" borderId="21" xfId="42" applyNumberFormat="1" applyFont="1" applyFill="1" applyBorder="1" applyAlignment="1">
      <alignment/>
    </xf>
    <xf numFmtId="187" fontId="4" fillId="0" borderId="21" xfId="0" applyNumberFormat="1" applyFont="1" applyFill="1" applyBorder="1" applyAlignment="1">
      <alignment/>
    </xf>
    <xf numFmtId="187" fontId="5" fillId="0" borderId="20" xfId="42" applyNumberFormat="1" applyFont="1" applyFill="1" applyBorder="1" applyAlignment="1">
      <alignment horizontal="right"/>
    </xf>
    <xf numFmtId="187" fontId="5" fillId="0" borderId="10" xfId="42" applyNumberFormat="1" applyFont="1" applyFill="1" applyBorder="1" applyAlignment="1">
      <alignment/>
    </xf>
    <xf numFmtId="169" fontId="4" fillId="0" borderId="19" xfId="42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13" xfId="0" applyFont="1" applyFill="1" applyBorder="1" applyAlignment="1">
      <alignment horizontal="center"/>
    </xf>
    <xf numFmtId="187" fontId="4" fillId="33" borderId="15" xfId="0" applyNumberFormat="1" applyFont="1" applyFill="1" applyBorder="1" applyAlignment="1">
      <alignment/>
    </xf>
    <xf numFmtId="187" fontId="5" fillId="0" borderId="15" xfId="42" applyNumberFormat="1" applyFont="1" applyFill="1" applyBorder="1" applyAlignment="1">
      <alignment horizontal="left"/>
    </xf>
    <xf numFmtId="187" fontId="4" fillId="0" borderId="24" xfId="42" applyNumberFormat="1" applyFont="1" applyFill="1" applyBorder="1" applyAlignment="1">
      <alignment/>
    </xf>
    <xf numFmtId="187" fontId="4" fillId="0" borderId="13" xfId="42" applyNumberFormat="1" applyFont="1" applyFill="1" applyBorder="1" applyAlignment="1">
      <alignment horizontal="right"/>
    </xf>
    <xf numFmtId="187" fontId="4" fillId="0" borderId="13" xfId="42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187" fontId="4" fillId="0" borderId="21" xfId="42" applyNumberFormat="1" applyFont="1" applyFill="1" applyBorder="1" applyAlignment="1">
      <alignment horizontal="right"/>
    </xf>
    <xf numFmtId="169" fontId="5" fillId="0" borderId="19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49" fontId="4" fillId="0" borderId="12" xfId="42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87" fontId="5" fillId="0" borderId="12" xfId="42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15" xfId="42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171" fontId="4" fillId="0" borderId="0" xfId="42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left"/>
    </xf>
    <xf numFmtId="4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0" fontId="5" fillId="0" borderId="0" xfId="42" applyNumberFormat="1" applyFont="1" applyFill="1" applyBorder="1" applyAlignment="1">
      <alignment horizontal="right"/>
    </xf>
    <xf numFmtId="10" fontId="5" fillId="0" borderId="0" xfId="42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187" fontId="5" fillId="33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9" fontId="4" fillId="0" borderId="14" xfId="42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9" fontId="4" fillId="0" borderId="11" xfId="42" applyNumberFormat="1" applyFont="1" applyFill="1" applyBorder="1" applyAlignment="1">
      <alignment horizontal="center"/>
    </xf>
    <xf numFmtId="49" fontId="4" fillId="0" borderId="12" xfId="42" applyNumberFormat="1" applyFont="1" applyFill="1" applyBorder="1" applyAlignment="1">
      <alignment horizontal="right"/>
    </xf>
    <xf numFmtId="49" fontId="4" fillId="0" borderId="20" xfId="42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69" fontId="5" fillId="34" borderId="19" xfId="42" applyNumberFormat="1" applyFont="1" applyFill="1" applyBorder="1" applyAlignment="1">
      <alignment/>
    </xf>
    <xf numFmtId="187" fontId="5" fillId="0" borderId="19" xfId="42" applyNumberFormat="1" applyFont="1" applyFill="1" applyBorder="1" applyAlignment="1">
      <alignment horizontal="right"/>
    </xf>
    <xf numFmtId="1" fontId="5" fillId="0" borderId="15" xfId="42" applyNumberFormat="1" applyFont="1" applyFill="1" applyBorder="1" applyAlignment="1">
      <alignment/>
    </xf>
    <xf numFmtId="187" fontId="5" fillId="0" borderId="12" xfId="42" applyNumberFormat="1" applyFont="1" applyFill="1" applyBorder="1" applyAlignment="1">
      <alignment/>
    </xf>
    <xf numFmtId="187" fontId="5" fillId="0" borderId="24" xfId="42" applyNumberFormat="1" applyFont="1" applyFill="1" applyBorder="1" applyAlignment="1">
      <alignment/>
    </xf>
    <xf numFmtId="187" fontId="5" fillId="0" borderId="17" xfId="42" applyNumberFormat="1" applyFont="1" applyFill="1" applyBorder="1" applyAlignment="1">
      <alignment/>
    </xf>
    <xf numFmtId="187" fontId="5" fillId="0" borderId="13" xfId="42" applyNumberFormat="1" applyFont="1" applyFill="1" applyBorder="1" applyAlignment="1">
      <alignment horizontal="right"/>
    </xf>
    <xf numFmtId="187" fontId="5" fillId="0" borderId="13" xfId="42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5" fillId="0" borderId="10" xfId="42" applyNumberFormat="1" applyFont="1" applyFill="1" applyBorder="1" applyAlignment="1">
      <alignment/>
    </xf>
    <xf numFmtId="187" fontId="5" fillId="0" borderId="14" xfId="42" applyNumberFormat="1" applyFont="1" applyFill="1" applyBorder="1" applyAlignment="1">
      <alignment/>
    </xf>
    <xf numFmtId="187" fontId="5" fillId="0" borderId="14" xfId="42" applyNumberFormat="1" applyFont="1" applyFill="1" applyBorder="1" applyAlignment="1">
      <alignment horizontal="right"/>
    </xf>
    <xf numFmtId="169" fontId="4" fillId="0" borderId="15" xfId="0" applyNumberFormat="1" applyFont="1" applyFill="1" applyBorder="1" applyAlignment="1">
      <alignment/>
    </xf>
    <xf numFmtId="187" fontId="4" fillId="0" borderId="20" xfId="42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71" fontId="4" fillId="0" borderId="19" xfId="42" applyNumberFormat="1" applyFont="1" applyFill="1" applyBorder="1" applyAlignment="1">
      <alignment/>
    </xf>
    <xf numFmtId="187" fontId="5" fillId="0" borderId="10" xfId="42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5" fillId="0" borderId="0" xfId="42" applyNumberFormat="1" applyFont="1" applyFill="1" applyBorder="1" applyAlignment="1">
      <alignment/>
    </xf>
    <xf numFmtId="187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 quotePrefix="1">
      <alignment horizontal="center"/>
    </xf>
    <xf numFmtId="3" fontId="4" fillId="0" borderId="24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21" xfId="42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187" fontId="5" fillId="0" borderId="21" xfId="42" applyNumberFormat="1" applyFont="1" applyFill="1" applyBorder="1" applyAlignment="1">
      <alignment/>
    </xf>
    <xf numFmtId="3" fontId="5" fillId="0" borderId="24" xfId="42" applyNumberFormat="1" applyFont="1" applyFill="1" applyBorder="1" applyAlignment="1">
      <alignment/>
    </xf>
    <xf numFmtId="3" fontId="5" fillId="0" borderId="21" xfId="42" applyNumberFormat="1" applyFont="1" applyFill="1" applyBorder="1" applyAlignment="1">
      <alignment/>
    </xf>
    <xf numFmtId="3" fontId="4" fillId="0" borderId="21" xfId="42" applyNumberFormat="1" applyFont="1" applyFill="1" applyBorder="1" applyAlignment="1">
      <alignment/>
    </xf>
    <xf numFmtId="3" fontId="5" fillId="0" borderId="21" xfId="42" applyNumberFormat="1" applyFont="1" applyFill="1" applyBorder="1" applyAlignment="1">
      <alignment horizontal="right"/>
    </xf>
    <xf numFmtId="1" fontId="4" fillId="0" borderId="16" xfId="42" applyNumberFormat="1" applyFont="1" applyFill="1" applyBorder="1" applyAlignment="1">
      <alignment horizontal="center"/>
    </xf>
    <xf numFmtId="169" fontId="4" fillId="0" borderId="15" xfId="42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quotePrefix="1">
      <alignment horizontal="left" wrapText="1"/>
    </xf>
    <xf numFmtId="169" fontId="5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center"/>
    </xf>
    <xf numFmtId="1" fontId="4" fillId="0" borderId="15" xfId="42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66" fontId="9" fillId="35" borderId="0" xfId="0" applyNumberFormat="1" applyFont="1" applyFill="1" applyBorder="1" applyAlignment="1" applyProtection="1">
      <alignment horizontal="center"/>
      <protection hidden="1"/>
    </xf>
    <xf numFmtId="3" fontId="4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66" fontId="9" fillId="35" borderId="25" xfId="0" applyNumberFormat="1" applyFont="1" applyFill="1" applyBorder="1" applyAlignment="1" applyProtection="1">
      <alignment horizontal="center"/>
      <protection hidden="1"/>
    </xf>
    <xf numFmtId="166" fontId="9" fillId="35" borderId="26" xfId="0" applyNumberFormat="1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5"/>
  <sheetViews>
    <sheetView tabSelected="1" zoomScale="70" zoomScaleNormal="70" zoomScaleSheetLayoutView="100" zoomScalePageLayoutView="0" workbookViewId="0" topLeftCell="A68">
      <selection activeCell="C75" sqref="C75"/>
    </sheetView>
  </sheetViews>
  <sheetFormatPr defaultColWidth="9.33203125" defaultRowHeight="12.75"/>
  <cols>
    <col min="1" max="1" width="9.83203125" style="27" customWidth="1"/>
    <col min="2" max="2" width="9.83203125" style="102" customWidth="1"/>
    <col min="3" max="3" width="94.16015625" style="102" customWidth="1"/>
    <col min="4" max="4" width="6.16015625" style="102" hidden="1" customWidth="1"/>
    <col min="5" max="5" width="16" style="102" hidden="1" customWidth="1"/>
    <col min="6" max="6" width="14" style="102" hidden="1" customWidth="1"/>
    <col min="7" max="7" width="2.5" style="102" hidden="1" customWidth="1"/>
    <col min="8" max="8" width="7.5" style="102" hidden="1" customWidth="1"/>
    <col min="9" max="9" width="1.5" style="99" hidden="1" customWidth="1"/>
    <col min="10" max="10" width="18" style="102" hidden="1" customWidth="1"/>
    <col min="11" max="11" width="22.16015625" style="102" hidden="1" customWidth="1"/>
    <col min="12" max="12" width="21.5" style="102" hidden="1" customWidth="1"/>
    <col min="13" max="13" width="11.66015625" style="102" hidden="1" customWidth="1"/>
    <col min="14" max="14" width="26.83203125" style="102" hidden="1" customWidth="1"/>
    <col min="15" max="15" width="5.66015625" style="102" hidden="1" customWidth="1"/>
    <col min="16" max="17" width="11.66015625" style="102" hidden="1" customWidth="1"/>
    <col min="18" max="18" width="12.66015625" style="102" hidden="1" customWidth="1"/>
    <col min="19" max="19" width="21.5" style="102" hidden="1" customWidth="1"/>
    <col min="20" max="20" width="15.33203125" style="169" hidden="1" customWidth="1"/>
    <col min="21" max="21" width="16.16015625" style="169" customWidth="1"/>
    <col min="22" max="23" width="16.66015625" style="102" customWidth="1"/>
    <col min="24" max="24" width="13.83203125" style="102" customWidth="1"/>
    <col min="25" max="29" width="15.83203125" style="102" customWidth="1"/>
    <col min="30" max="30" width="18.5" style="102" customWidth="1"/>
    <col min="31" max="31" width="12.5" style="102" customWidth="1"/>
    <col min="32" max="32" width="13.66015625" style="102" customWidth="1"/>
    <col min="33" max="33" width="11.83203125" style="102" customWidth="1"/>
    <col min="34" max="34" width="19.5" style="102" customWidth="1"/>
    <col min="35" max="16384" width="9.33203125" style="102" customWidth="1"/>
  </cols>
  <sheetData>
    <row r="1" spans="2:42" ht="16.5" customHeight="1">
      <c r="B1" s="3"/>
      <c r="C1" s="3"/>
      <c r="D1" s="3"/>
      <c r="E1" s="3"/>
      <c r="F1" s="3"/>
      <c r="G1" s="3"/>
      <c r="H1" s="3"/>
      <c r="I1" s="2"/>
      <c r="J1" s="3"/>
      <c r="K1" s="3"/>
      <c r="L1" s="3"/>
      <c r="M1" s="2"/>
      <c r="N1" s="2"/>
      <c r="O1" s="2"/>
      <c r="P1" s="2"/>
      <c r="Q1" s="2"/>
      <c r="R1" s="2"/>
      <c r="S1" s="2"/>
      <c r="T1" s="168"/>
      <c r="U1" s="168"/>
      <c r="V1" s="2"/>
      <c r="W1" s="2" t="s">
        <v>122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2" ht="16.5" customHeight="1">
      <c r="B2" s="3"/>
      <c r="C2" s="3"/>
      <c r="D2" s="3"/>
      <c r="E2" s="3"/>
      <c r="F2" s="3"/>
      <c r="G2" s="3"/>
      <c r="H2" s="3"/>
      <c r="I2" s="2"/>
      <c r="J2" s="3"/>
      <c r="K2" s="3"/>
      <c r="L2" s="3"/>
      <c r="M2" s="99"/>
      <c r="N2" s="2"/>
      <c r="O2" s="2"/>
      <c r="P2" s="2"/>
      <c r="Q2" s="2"/>
      <c r="R2" s="2"/>
      <c r="S2" s="2"/>
      <c r="T2" s="168"/>
      <c r="U2" s="168"/>
      <c r="V2" s="2"/>
      <c r="W2" s="99" t="s">
        <v>123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5" customHeight="1"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99"/>
      <c r="N3" s="2"/>
      <c r="O3" s="2"/>
      <c r="P3" s="2"/>
      <c r="Q3" s="2"/>
      <c r="R3" s="2"/>
      <c r="S3" s="2"/>
      <c r="T3" s="168"/>
      <c r="U3" s="168"/>
      <c r="W3" s="2" t="s">
        <v>124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7.25" customHeight="1">
      <c r="A4" s="203" t="s">
        <v>113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3.5" customHeight="1">
      <c r="A5" s="1"/>
      <c r="B5" s="3"/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3"/>
      <c r="O5" s="3"/>
      <c r="P5" s="3"/>
      <c r="Q5" s="3"/>
      <c r="R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15.75" customHeight="1">
      <c r="B6" s="3"/>
      <c r="D6" s="3"/>
      <c r="E6" s="42" t="s">
        <v>54</v>
      </c>
      <c r="F6" s="42" t="s">
        <v>52</v>
      </c>
      <c r="G6" s="42" t="s">
        <v>54</v>
      </c>
      <c r="H6" s="43" t="s">
        <v>54</v>
      </c>
      <c r="I6" s="72" t="s">
        <v>54</v>
      </c>
      <c r="J6" s="43" t="s">
        <v>66</v>
      </c>
      <c r="K6" s="43" t="s">
        <v>66</v>
      </c>
      <c r="L6" s="43" t="s">
        <v>76</v>
      </c>
      <c r="M6" s="43" t="s">
        <v>66</v>
      </c>
      <c r="N6" s="43" t="s">
        <v>80</v>
      </c>
      <c r="O6" s="43"/>
      <c r="P6" s="93" t="s">
        <v>66</v>
      </c>
      <c r="Q6" s="93" t="s">
        <v>67</v>
      </c>
      <c r="R6" s="174" t="s">
        <v>98</v>
      </c>
      <c r="S6" s="93" t="s">
        <v>66</v>
      </c>
      <c r="T6" s="170" t="s">
        <v>66</v>
      </c>
      <c r="U6" s="170" t="s">
        <v>66</v>
      </c>
      <c r="V6" s="43" t="s">
        <v>76</v>
      </c>
      <c r="W6" s="43" t="s">
        <v>66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8" customHeight="1">
      <c r="A7" s="1"/>
      <c r="B7" s="3"/>
      <c r="C7" s="3"/>
      <c r="D7" s="3"/>
      <c r="E7" s="104" t="s">
        <v>24</v>
      </c>
      <c r="F7" s="104" t="s">
        <v>24</v>
      </c>
      <c r="G7" s="104" t="s">
        <v>44</v>
      </c>
      <c r="H7" s="132" t="s">
        <v>44</v>
      </c>
      <c r="I7" s="133" t="s">
        <v>50</v>
      </c>
      <c r="J7" s="132" t="s">
        <v>50</v>
      </c>
      <c r="K7" s="134" t="s">
        <v>53</v>
      </c>
      <c r="L7" s="134" t="s">
        <v>53</v>
      </c>
      <c r="M7" s="131">
        <v>2007</v>
      </c>
      <c r="N7" s="131" t="s">
        <v>82</v>
      </c>
      <c r="O7" s="131"/>
      <c r="P7" s="131">
        <v>2009</v>
      </c>
      <c r="Q7" s="131">
        <v>2009</v>
      </c>
      <c r="R7" s="131">
        <v>2009</v>
      </c>
      <c r="S7" s="131">
        <v>2010</v>
      </c>
      <c r="T7" s="184">
        <v>2011</v>
      </c>
      <c r="U7" s="191">
        <v>2011</v>
      </c>
      <c r="V7" s="131">
        <v>2012</v>
      </c>
      <c r="W7" s="131">
        <v>2013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6.5" customHeight="1">
      <c r="A8" s="140">
        <v>10</v>
      </c>
      <c r="B8" s="135" t="s">
        <v>0</v>
      </c>
      <c r="C8" s="137"/>
      <c r="D8" s="50"/>
      <c r="E8" s="61"/>
      <c r="F8" s="61"/>
      <c r="G8" s="61"/>
      <c r="H8" s="61"/>
      <c r="I8" s="136"/>
      <c r="J8" s="137"/>
      <c r="K8" s="135"/>
      <c r="L8" s="135"/>
      <c r="M8" s="132"/>
      <c r="N8" s="132"/>
      <c r="O8" s="132"/>
      <c r="P8" s="61"/>
      <c r="Q8" s="61"/>
      <c r="R8" s="61"/>
      <c r="S8" s="131"/>
      <c r="T8" s="190"/>
      <c r="U8" s="190"/>
      <c r="V8" s="131"/>
      <c r="W8" s="131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6.5" customHeight="1">
      <c r="A9" s="139">
        <v>1100</v>
      </c>
      <c r="B9" s="59" t="s">
        <v>95</v>
      </c>
      <c r="C9" s="110"/>
      <c r="D9" s="3"/>
      <c r="E9" s="58"/>
      <c r="F9" s="3"/>
      <c r="G9" s="58" t="s">
        <v>58</v>
      </c>
      <c r="H9" s="58"/>
      <c r="I9" s="111"/>
      <c r="J9" s="58"/>
      <c r="K9" s="112"/>
      <c r="L9" s="112"/>
      <c r="M9" s="4"/>
      <c r="N9" s="4"/>
      <c r="O9" s="4"/>
      <c r="P9" s="58"/>
      <c r="Q9" s="58"/>
      <c r="R9" s="58"/>
      <c r="S9" s="58"/>
      <c r="T9" s="175"/>
      <c r="U9" s="175"/>
      <c r="V9" s="58"/>
      <c r="W9" s="58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9.5" customHeight="1">
      <c r="A10" s="139"/>
      <c r="B10" s="60" t="s">
        <v>1</v>
      </c>
      <c r="C10" s="110" t="s">
        <v>71</v>
      </c>
      <c r="D10" s="3" t="s">
        <v>2</v>
      </c>
      <c r="E10" s="6">
        <v>129430</v>
      </c>
      <c r="F10" s="6">
        <f>144125.66+(4*14320.42)+50000+102000</f>
        <v>353407.33999999997</v>
      </c>
      <c r="G10" s="6">
        <v>133313</v>
      </c>
      <c r="H10" s="13">
        <f>((144125.66-22628-10337.48)+(4*14320.42))*1.05+14000</f>
        <v>190863.95300000004</v>
      </c>
      <c r="I10" s="57">
        <v>171840</v>
      </c>
      <c r="J10" s="13">
        <f>14320*12</f>
        <v>171840</v>
      </c>
      <c r="K10" s="13">
        <v>180432</v>
      </c>
      <c r="L10" s="13">
        <v>180432</v>
      </c>
      <c r="M10" s="13">
        <f>SUM(K10*0.05)+K10</f>
        <v>189453.6</v>
      </c>
      <c r="N10" s="13"/>
      <c r="O10" s="13"/>
      <c r="P10" s="155">
        <v>208872.594</v>
      </c>
      <c r="Q10" s="155">
        <v>208872.594</v>
      </c>
      <c r="R10" s="155">
        <f>+Q10-P10</f>
        <v>0</v>
      </c>
      <c r="S10" s="155">
        <v>219316.22370000003</v>
      </c>
      <c r="T10" s="176">
        <f>SUM(S10*5%)+S10</f>
        <v>230282.03488500003</v>
      </c>
      <c r="U10" s="176">
        <f aca="true" t="shared" si="0" ref="U10:U25">SUM(T10)</f>
        <v>230282.03488500003</v>
      </c>
      <c r="V10" s="155">
        <f aca="true" t="shared" si="1" ref="V10:V24">SUM(T10*3%)+T10</f>
        <v>237190.49593155005</v>
      </c>
      <c r="W10" s="155">
        <f>SUM(V10*3%)+V10</f>
        <v>244306.21080949655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5.75" customHeight="1">
      <c r="A11" s="139"/>
      <c r="B11" s="60" t="s">
        <v>3</v>
      </c>
      <c r="C11" s="110" t="s">
        <v>115</v>
      </c>
      <c r="D11" s="123" t="s">
        <v>4</v>
      </c>
      <c r="E11" s="146">
        <v>116699</v>
      </c>
      <c r="F11" s="146">
        <v>139000</v>
      </c>
      <c r="G11" s="146">
        <v>120199.97</v>
      </c>
      <c r="H11" s="34">
        <f>(95352.35)/8*12*1.05</f>
        <v>150179.95125000004</v>
      </c>
      <c r="I11" s="74">
        <v>157688.94881250005</v>
      </c>
      <c r="J11" s="34">
        <f aca="true" t="shared" si="2" ref="J11:J20">SUM(H11*0.05)+H11</f>
        <v>157688.94881250005</v>
      </c>
      <c r="K11" s="34">
        <v>165573.39625312504</v>
      </c>
      <c r="L11" s="34">
        <v>165573.39625312504</v>
      </c>
      <c r="M11" s="34">
        <f aca="true" t="shared" si="3" ref="M11:M21">SUM(K11*0.05)+K11</f>
        <v>173852.06606578128</v>
      </c>
      <c r="N11" s="13"/>
      <c r="O11" s="13"/>
      <c r="P11" s="155">
        <v>206131.3765875</v>
      </c>
      <c r="Q11" s="155">
        <v>206131.3765875</v>
      </c>
      <c r="R11" s="155">
        <f aca="true" t="shared" si="4" ref="R11:R23">+Q11-P11</f>
        <v>0</v>
      </c>
      <c r="S11" s="155">
        <f>+P11*1.05</f>
        <v>216437.945416875</v>
      </c>
      <c r="T11" s="176">
        <f aca="true" t="shared" si="5" ref="T11:T21">SUM(S11*5%)+S11</f>
        <v>227259.84268771874</v>
      </c>
      <c r="U11" s="176">
        <f t="shared" si="0"/>
        <v>227259.84268771874</v>
      </c>
      <c r="V11" s="155">
        <f t="shared" si="1"/>
        <v>234077.63796835032</v>
      </c>
      <c r="W11" s="155">
        <f aca="true" t="shared" si="6" ref="W11:W24">SUM(V11*3%)+V11</f>
        <v>241099.96710740082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5.75" customHeight="1">
      <c r="A12" s="139"/>
      <c r="B12" s="60" t="s">
        <v>5</v>
      </c>
      <c r="C12" s="110" t="s">
        <v>116</v>
      </c>
      <c r="D12" s="123" t="s">
        <v>4</v>
      </c>
      <c r="E12" s="146">
        <v>116699</v>
      </c>
      <c r="F12" s="146">
        <v>139000</v>
      </c>
      <c r="G12" s="146">
        <v>120199.97</v>
      </c>
      <c r="H12" s="34">
        <f>(105793-11000)/8*12+11000</f>
        <v>153189.5</v>
      </c>
      <c r="I12" s="74">
        <v>160848.975</v>
      </c>
      <c r="J12" s="34">
        <f t="shared" si="2"/>
        <v>160848.975</v>
      </c>
      <c r="K12" s="34">
        <v>168891.42375000002</v>
      </c>
      <c r="L12" s="34">
        <v>168891.42375000002</v>
      </c>
      <c r="M12" s="34">
        <f t="shared" si="3"/>
        <v>177335.9949375</v>
      </c>
      <c r="N12" s="13"/>
      <c r="O12" s="13"/>
      <c r="P12" s="155">
        <v>136615.38003569533</v>
      </c>
      <c r="Q12" s="155">
        <v>136615.38003569533</v>
      </c>
      <c r="R12" s="155">
        <f t="shared" si="4"/>
        <v>0</v>
      </c>
      <c r="S12" s="155">
        <v>143446.1490374801</v>
      </c>
      <c r="T12" s="176">
        <f t="shared" si="5"/>
        <v>150618.4564893541</v>
      </c>
      <c r="U12" s="176">
        <f t="shared" si="0"/>
        <v>150618.4564893541</v>
      </c>
      <c r="V12" s="155">
        <f t="shared" si="1"/>
        <v>155137.01018403473</v>
      </c>
      <c r="W12" s="155">
        <f t="shared" si="6"/>
        <v>159791.1204895558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5.75" customHeight="1">
      <c r="A13" s="139"/>
      <c r="B13" s="60" t="s">
        <v>6</v>
      </c>
      <c r="C13" s="110" t="s">
        <v>73</v>
      </c>
      <c r="D13" s="3" t="s">
        <v>4</v>
      </c>
      <c r="E13" s="7">
        <v>116699</v>
      </c>
      <c r="F13" s="7">
        <v>139000</v>
      </c>
      <c r="G13" s="7">
        <v>120199.97</v>
      </c>
      <c r="H13" s="13">
        <f aca="true" t="shared" si="7" ref="H13:H19">+F13*1.05</f>
        <v>145950</v>
      </c>
      <c r="I13" s="57">
        <v>153247.5</v>
      </c>
      <c r="J13" s="13">
        <f t="shared" si="2"/>
        <v>153247.5</v>
      </c>
      <c r="K13" s="13">
        <v>160909.875</v>
      </c>
      <c r="L13" s="13">
        <v>160909.875</v>
      </c>
      <c r="M13" s="13">
        <f t="shared" si="3"/>
        <v>168955.36875</v>
      </c>
      <c r="N13" s="13"/>
      <c r="O13" s="13"/>
      <c r="P13" s="155">
        <v>186273.294046875</v>
      </c>
      <c r="Q13" s="155">
        <v>186273.294046875</v>
      </c>
      <c r="R13" s="155">
        <f t="shared" si="4"/>
        <v>0</v>
      </c>
      <c r="S13" s="155">
        <v>195586.95874921876</v>
      </c>
      <c r="T13" s="176">
        <f t="shared" si="5"/>
        <v>205366.3066866797</v>
      </c>
      <c r="U13" s="176">
        <f t="shared" si="0"/>
        <v>205366.3066866797</v>
      </c>
      <c r="V13" s="155">
        <f t="shared" si="1"/>
        <v>211527.29588728008</v>
      </c>
      <c r="W13" s="155">
        <f t="shared" si="6"/>
        <v>217873.11476389848</v>
      </c>
      <c r="X13" s="3"/>
      <c r="Y13" s="3"/>
      <c r="Z13" s="3"/>
      <c r="AA13" s="3"/>
      <c r="AB13" s="3"/>
      <c r="AC13" s="3"/>
      <c r="AD13" s="3"/>
      <c r="AE13" s="3"/>
      <c r="AF13" s="3"/>
      <c r="AG13" s="11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5.75" customHeight="1">
      <c r="A14" s="139"/>
      <c r="B14" s="60" t="s">
        <v>8</v>
      </c>
      <c r="C14" s="110" t="s">
        <v>73</v>
      </c>
      <c r="D14" s="3" t="s">
        <v>4</v>
      </c>
      <c r="E14" s="7">
        <v>116699</v>
      </c>
      <c r="F14" s="7">
        <v>139000</v>
      </c>
      <c r="G14" s="7">
        <v>120199.97</v>
      </c>
      <c r="H14" s="13">
        <f t="shared" si="7"/>
        <v>145950</v>
      </c>
      <c r="I14" s="57">
        <v>153247.5</v>
      </c>
      <c r="J14" s="13">
        <f t="shared" si="2"/>
        <v>153247.5</v>
      </c>
      <c r="K14" s="13">
        <v>160909.875</v>
      </c>
      <c r="L14" s="13">
        <v>160909.875</v>
      </c>
      <c r="M14" s="13">
        <f t="shared" si="3"/>
        <v>168955.36875</v>
      </c>
      <c r="N14" s="13"/>
      <c r="O14" s="13"/>
      <c r="P14" s="155">
        <v>186273.294046875</v>
      </c>
      <c r="Q14" s="155">
        <v>186273.294046875</v>
      </c>
      <c r="R14" s="155">
        <f t="shared" si="4"/>
        <v>0</v>
      </c>
      <c r="S14" s="155">
        <v>195586.95874921876</v>
      </c>
      <c r="T14" s="176">
        <f t="shared" si="5"/>
        <v>205366.3066866797</v>
      </c>
      <c r="U14" s="176">
        <f t="shared" si="0"/>
        <v>205366.3066866797</v>
      </c>
      <c r="V14" s="155">
        <f t="shared" si="1"/>
        <v>211527.29588728008</v>
      </c>
      <c r="W14" s="155">
        <f t="shared" si="6"/>
        <v>217873.11476389848</v>
      </c>
      <c r="X14" s="3"/>
      <c r="Y14" s="3"/>
      <c r="Z14" s="3"/>
      <c r="AA14" s="3"/>
      <c r="AB14" s="3"/>
      <c r="AC14" s="3"/>
      <c r="AD14" s="3"/>
      <c r="AE14" s="3"/>
      <c r="AF14" s="3"/>
      <c r="AG14" s="11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5.75" customHeight="1">
      <c r="A15" s="139"/>
      <c r="B15" s="60" t="s">
        <v>9</v>
      </c>
      <c r="C15" s="110" t="s">
        <v>74</v>
      </c>
      <c r="D15" s="3" t="s">
        <v>4</v>
      </c>
      <c r="E15" s="7">
        <v>116699</v>
      </c>
      <c r="F15" s="7">
        <v>139000</v>
      </c>
      <c r="G15" s="7">
        <v>120199.97</v>
      </c>
      <c r="H15" s="13">
        <f>+F15*1.05</f>
        <v>145950</v>
      </c>
      <c r="I15" s="57">
        <v>153247.5</v>
      </c>
      <c r="J15" s="13">
        <f t="shared" si="2"/>
        <v>153247.5</v>
      </c>
      <c r="K15" s="13">
        <v>160909.875</v>
      </c>
      <c r="L15" s="13">
        <v>160909.875</v>
      </c>
      <c r="M15" s="13">
        <f t="shared" si="3"/>
        <v>168955.36875</v>
      </c>
      <c r="N15" s="13"/>
      <c r="O15" s="13"/>
      <c r="P15" s="155">
        <v>186273.294046875</v>
      </c>
      <c r="Q15" s="155">
        <v>186273.294046875</v>
      </c>
      <c r="R15" s="155">
        <f t="shared" si="4"/>
        <v>0</v>
      </c>
      <c r="S15" s="155">
        <v>195586.95874921876</v>
      </c>
      <c r="T15" s="176">
        <f t="shared" si="5"/>
        <v>205366.3066866797</v>
      </c>
      <c r="U15" s="176">
        <f t="shared" si="0"/>
        <v>205366.3066866797</v>
      </c>
      <c r="V15" s="155">
        <f t="shared" si="1"/>
        <v>211527.29588728008</v>
      </c>
      <c r="W15" s="155">
        <f t="shared" si="6"/>
        <v>217873.11476389848</v>
      </c>
      <c r="X15" s="3"/>
      <c r="Y15" s="3"/>
      <c r="Z15" s="3"/>
      <c r="AA15" s="3"/>
      <c r="AB15" s="3"/>
      <c r="AC15" s="3"/>
      <c r="AD15" s="3"/>
      <c r="AE15" s="3"/>
      <c r="AF15" s="3"/>
      <c r="AG15" s="11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5.75" customHeight="1">
      <c r="A16" s="139"/>
      <c r="B16" s="60" t="s">
        <v>10</v>
      </c>
      <c r="C16" s="110" t="s">
        <v>73</v>
      </c>
      <c r="D16" s="3"/>
      <c r="E16" s="7"/>
      <c r="F16" s="7"/>
      <c r="G16" s="7"/>
      <c r="H16" s="13"/>
      <c r="I16" s="57"/>
      <c r="J16" s="13"/>
      <c r="K16" s="13"/>
      <c r="L16" s="13"/>
      <c r="M16" s="13"/>
      <c r="N16" s="13"/>
      <c r="O16" s="13"/>
      <c r="P16" s="155">
        <v>186273.294046875</v>
      </c>
      <c r="Q16" s="155">
        <v>186273.294046875</v>
      </c>
      <c r="R16" s="155">
        <f t="shared" si="4"/>
        <v>0</v>
      </c>
      <c r="S16" s="155">
        <v>195586.95874921876</v>
      </c>
      <c r="T16" s="176">
        <f t="shared" si="5"/>
        <v>205366.3066866797</v>
      </c>
      <c r="U16" s="176">
        <f t="shared" si="0"/>
        <v>205366.3066866797</v>
      </c>
      <c r="V16" s="155">
        <f t="shared" si="1"/>
        <v>211527.29588728008</v>
      </c>
      <c r="W16" s="155">
        <f t="shared" si="6"/>
        <v>217873.11476389848</v>
      </c>
      <c r="X16" s="3"/>
      <c r="Y16" s="3"/>
      <c r="Z16" s="3"/>
      <c r="AA16" s="3"/>
      <c r="AB16" s="3"/>
      <c r="AC16" s="3"/>
      <c r="AD16" s="3"/>
      <c r="AE16" s="3"/>
      <c r="AF16" s="3"/>
      <c r="AG16" s="11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5.75" customHeight="1">
      <c r="A17" s="139"/>
      <c r="B17" s="60" t="s">
        <v>11</v>
      </c>
      <c r="C17" s="110" t="s">
        <v>72</v>
      </c>
      <c r="D17" s="3" t="s">
        <v>22</v>
      </c>
      <c r="E17" s="7">
        <v>85933</v>
      </c>
      <c r="F17" s="7">
        <f>83766.02+(4*9785)</f>
        <v>122906.02</v>
      </c>
      <c r="G17" s="7">
        <v>88510.88700000002</v>
      </c>
      <c r="H17" s="13">
        <f>+F17*1.05</f>
        <v>129051.32100000001</v>
      </c>
      <c r="I17" s="57">
        <v>135503.88705000002</v>
      </c>
      <c r="J17" s="13">
        <f t="shared" si="2"/>
        <v>135503.88705000002</v>
      </c>
      <c r="K17" s="13">
        <v>142279.0814025</v>
      </c>
      <c r="L17" s="13">
        <v>142279.0814025</v>
      </c>
      <c r="M17" s="13">
        <f t="shared" si="3"/>
        <v>149393.03547262502</v>
      </c>
      <c r="N17" s="13"/>
      <c r="O17" s="13"/>
      <c r="P17" s="155">
        <v>164705.8216085691</v>
      </c>
      <c r="Q17" s="155">
        <v>164705.8216085691</v>
      </c>
      <c r="R17" s="155">
        <f t="shared" si="4"/>
        <v>0</v>
      </c>
      <c r="S17" s="155">
        <v>172941.11268899756</v>
      </c>
      <c r="T17" s="176">
        <f t="shared" si="5"/>
        <v>181588.16832344743</v>
      </c>
      <c r="U17" s="176">
        <f t="shared" si="0"/>
        <v>181588.16832344743</v>
      </c>
      <c r="V17" s="155">
        <f t="shared" si="1"/>
        <v>187035.81337315086</v>
      </c>
      <c r="W17" s="155">
        <f t="shared" si="6"/>
        <v>192646.88777434538</v>
      </c>
      <c r="X17" s="3"/>
      <c r="Y17" s="3"/>
      <c r="Z17" s="3"/>
      <c r="AA17" s="3"/>
      <c r="AB17" s="3"/>
      <c r="AC17" s="3"/>
      <c r="AD17" s="3"/>
      <c r="AE17" s="3"/>
      <c r="AF17" s="3"/>
      <c r="AG17" s="11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5.75" customHeight="1">
      <c r="A18" s="139"/>
      <c r="B18" s="60" t="s">
        <v>12</v>
      </c>
      <c r="C18" s="110" t="s">
        <v>117</v>
      </c>
      <c r="D18" s="3" t="s">
        <v>7</v>
      </c>
      <c r="E18" s="7">
        <v>100786</v>
      </c>
      <c r="F18" s="7">
        <f>76444.29+(4*9067)+12000</f>
        <v>124712.29</v>
      </c>
      <c r="G18" s="7">
        <v>103809.065</v>
      </c>
      <c r="H18" s="13">
        <f t="shared" si="7"/>
        <v>130947.9045</v>
      </c>
      <c r="I18" s="57">
        <v>137495.299725</v>
      </c>
      <c r="J18" s="13">
        <f t="shared" si="2"/>
        <v>137495.299725</v>
      </c>
      <c r="K18" s="13">
        <v>144370.06471125</v>
      </c>
      <c r="L18" s="13">
        <v>144370.06471125</v>
      </c>
      <c r="M18" s="13">
        <f t="shared" si="3"/>
        <v>151588.5679468125</v>
      </c>
      <c r="N18" s="13"/>
      <c r="O18" s="13"/>
      <c r="P18" s="155">
        <v>167126.39616136075</v>
      </c>
      <c r="Q18" s="155">
        <v>167126.39616136075</v>
      </c>
      <c r="R18" s="155">
        <f t="shared" si="4"/>
        <v>0</v>
      </c>
      <c r="S18" s="155">
        <v>175482.7159694288</v>
      </c>
      <c r="T18" s="176">
        <f t="shared" si="5"/>
        <v>184256.85176790023</v>
      </c>
      <c r="U18" s="176">
        <f t="shared" si="0"/>
        <v>184256.85176790023</v>
      </c>
      <c r="V18" s="155">
        <f t="shared" si="1"/>
        <v>189784.55732093722</v>
      </c>
      <c r="W18" s="155">
        <f t="shared" si="6"/>
        <v>195478.09404056534</v>
      </c>
      <c r="X18" s="3"/>
      <c r="Y18" s="3"/>
      <c r="Z18" s="3"/>
      <c r="AA18" s="3"/>
      <c r="AB18" s="3"/>
      <c r="AC18" s="3"/>
      <c r="AD18" s="3"/>
      <c r="AE18" s="3"/>
      <c r="AF18" s="3"/>
      <c r="AG18" s="11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5.75" customHeight="1">
      <c r="A19" s="139"/>
      <c r="B19" s="60" t="s">
        <v>13</v>
      </c>
      <c r="C19" s="110" t="s">
        <v>118</v>
      </c>
      <c r="D19" s="3" t="s">
        <v>4</v>
      </c>
      <c r="E19" s="7">
        <v>116699</v>
      </c>
      <c r="F19" s="7">
        <v>139000</v>
      </c>
      <c r="G19" s="7">
        <v>120199.97</v>
      </c>
      <c r="H19" s="13">
        <f t="shared" si="7"/>
        <v>145950</v>
      </c>
      <c r="I19" s="57">
        <v>153247.5</v>
      </c>
      <c r="J19" s="13">
        <f t="shared" si="2"/>
        <v>153247.5</v>
      </c>
      <c r="K19" s="13">
        <v>160909.875</v>
      </c>
      <c r="L19" s="13">
        <v>160909.875</v>
      </c>
      <c r="M19" s="13">
        <f t="shared" si="3"/>
        <v>168955.36875</v>
      </c>
      <c r="N19" s="13"/>
      <c r="O19" s="13"/>
      <c r="P19" s="155">
        <v>186273.294046875</v>
      </c>
      <c r="Q19" s="155">
        <v>186273.294046875</v>
      </c>
      <c r="R19" s="155">
        <f t="shared" si="4"/>
        <v>0</v>
      </c>
      <c r="S19" s="155">
        <v>195586.95874921876</v>
      </c>
      <c r="T19" s="176">
        <f t="shared" si="5"/>
        <v>205366.3066866797</v>
      </c>
      <c r="U19" s="176">
        <f t="shared" si="0"/>
        <v>205366.3066866797</v>
      </c>
      <c r="V19" s="155">
        <f t="shared" si="1"/>
        <v>211527.29588728008</v>
      </c>
      <c r="W19" s="155">
        <f t="shared" si="6"/>
        <v>217873.11476389848</v>
      </c>
      <c r="X19" s="3"/>
      <c r="Y19" s="3"/>
      <c r="Z19" s="3"/>
      <c r="AA19" s="3"/>
      <c r="AB19" s="3"/>
      <c r="AC19" s="3"/>
      <c r="AD19" s="3"/>
      <c r="AE19" s="3"/>
      <c r="AF19" s="3"/>
      <c r="AG19" s="11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5.75" customHeight="1">
      <c r="A20" s="139"/>
      <c r="B20" s="60" t="s">
        <v>23</v>
      </c>
      <c r="C20" s="110" t="s">
        <v>103</v>
      </c>
      <c r="D20" s="120" t="s">
        <v>41</v>
      </c>
      <c r="E20" s="89">
        <v>58350</v>
      </c>
      <c r="F20" s="89">
        <v>58350</v>
      </c>
      <c r="G20" s="89">
        <v>60099.985</v>
      </c>
      <c r="H20" s="34">
        <v>68000</v>
      </c>
      <c r="I20" s="144">
        <v>71400</v>
      </c>
      <c r="J20" s="34">
        <f t="shared" si="2"/>
        <v>71400</v>
      </c>
      <c r="K20" s="89">
        <v>74970</v>
      </c>
      <c r="L20" s="89">
        <v>74970</v>
      </c>
      <c r="M20" s="89">
        <f t="shared" si="3"/>
        <v>78718.5</v>
      </c>
      <c r="N20" s="34"/>
      <c r="O20" s="34"/>
      <c r="P20" s="155">
        <v>136615.38003569533</v>
      </c>
      <c r="Q20" s="155">
        <v>136615.38003569533</v>
      </c>
      <c r="R20" s="155">
        <f t="shared" si="4"/>
        <v>0</v>
      </c>
      <c r="S20" s="155">
        <f>+P20*1.05</f>
        <v>143446.1490374801</v>
      </c>
      <c r="T20" s="176">
        <f t="shared" si="5"/>
        <v>150618.4564893541</v>
      </c>
      <c r="U20" s="176">
        <f t="shared" si="0"/>
        <v>150618.4564893541</v>
      </c>
      <c r="V20" s="155">
        <f t="shared" si="1"/>
        <v>155137.01018403473</v>
      </c>
      <c r="W20" s="155">
        <f t="shared" si="6"/>
        <v>159791.1204895558</v>
      </c>
      <c r="X20" s="3"/>
      <c r="Y20" s="3"/>
      <c r="Z20" s="3"/>
      <c r="AA20" s="3"/>
      <c r="AB20" s="3"/>
      <c r="AC20" s="3"/>
      <c r="AD20" s="3"/>
      <c r="AE20" s="3"/>
      <c r="AF20" s="3"/>
      <c r="AG20" s="11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5.75" customHeight="1">
      <c r="A21" s="139"/>
      <c r="B21" s="60" t="s">
        <v>68</v>
      </c>
      <c r="C21" s="110" t="s">
        <v>99</v>
      </c>
      <c r="D21" s="9"/>
      <c r="E21" s="10"/>
      <c r="F21" s="10"/>
      <c r="G21" s="10"/>
      <c r="H21" s="13"/>
      <c r="I21" s="73"/>
      <c r="J21" s="13"/>
      <c r="K21" s="10">
        <v>71400</v>
      </c>
      <c r="L21" s="10">
        <v>71400</v>
      </c>
      <c r="M21" s="10">
        <f t="shared" si="3"/>
        <v>74970</v>
      </c>
      <c r="N21" s="13"/>
      <c r="O21" s="13"/>
      <c r="P21" s="155">
        <v>82654.425</v>
      </c>
      <c r="Q21" s="155">
        <v>82654.425</v>
      </c>
      <c r="R21" s="155">
        <f t="shared" si="4"/>
        <v>0</v>
      </c>
      <c r="S21" s="155">
        <v>86787.14625</v>
      </c>
      <c r="T21" s="176">
        <f t="shared" si="5"/>
        <v>91126.5035625</v>
      </c>
      <c r="U21" s="176">
        <f t="shared" si="0"/>
        <v>91126.5035625</v>
      </c>
      <c r="V21" s="155">
        <f t="shared" si="1"/>
        <v>93860.298669375</v>
      </c>
      <c r="W21" s="155">
        <f t="shared" si="6"/>
        <v>96676.10762945625</v>
      </c>
      <c r="X21" s="3"/>
      <c r="Y21" s="3"/>
      <c r="Z21" s="3"/>
      <c r="AA21" s="3"/>
      <c r="AB21" s="3"/>
      <c r="AC21" s="3"/>
      <c r="AD21" s="3"/>
      <c r="AE21" s="3"/>
      <c r="AF21" s="3"/>
      <c r="AG21" s="11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5.75" customHeight="1">
      <c r="A22" s="139"/>
      <c r="B22" s="60" t="s">
        <v>83</v>
      </c>
      <c r="C22" s="110" t="s">
        <v>88</v>
      </c>
      <c r="D22" s="9"/>
      <c r="E22" s="10"/>
      <c r="F22" s="10"/>
      <c r="G22" s="10"/>
      <c r="H22" s="13"/>
      <c r="I22" s="73"/>
      <c r="J22" s="13"/>
      <c r="K22" s="10"/>
      <c r="L22" s="10"/>
      <c r="M22" s="10"/>
      <c r="N22" s="109"/>
      <c r="O22" s="109"/>
      <c r="P22" s="24">
        <v>0</v>
      </c>
      <c r="Q22" s="24">
        <v>0</v>
      </c>
      <c r="R22" s="155">
        <f t="shared" si="4"/>
        <v>0</v>
      </c>
      <c r="S22" s="24">
        <v>0</v>
      </c>
      <c r="T22" s="86">
        <v>0</v>
      </c>
      <c r="U22" s="176">
        <f t="shared" si="0"/>
        <v>0</v>
      </c>
      <c r="V22" s="155">
        <f t="shared" si="1"/>
        <v>0</v>
      </c>
      <c r="W22" s="155">
        <f t="shared" si="6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11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5.75" customHeight="1">
      <c r="A23" s="138"/>
      <c r="B23" s="157" t="s">
        <v>87</v>
      </c>
      <c r="C23" s="158" t="s">
        <v>103</v>
      </c>
      <c r="D23" s="120"/>
      <c r="E23" s="89"/>
      <c r="F23" s="89"/>
      <c r="G23" s="89"/>
      <c r="H23" s="34"/>
      <c r="I23" s="144"/>
      <c r="J23" s="34"/>
      <c r="K23" s="89"/>
      <c r="L23" s="89"/>
      <c r="M23" s="89"/>
      <c r="N23" s="145"/>
      <c r="O23" s="145"/>
      <c r="P23" s="155">
        <v>136615.38003569533</v>
      </c>
      <c r="Q23" s="155">
        <v>136615.38003569533</v>
      </c>
      <c r="R23" s="155">
        <f t="shared" si="4"/>
        <v>0</v>
      </c>
      <c r="S23" s="155">
        <v>143446.1490374801</v>
      </c>
      <c r="T23" s="176">
        <f>SUM(S23*5%)+S23</f>
        <v>150618.4564893541</v>
      </c>
      <c r="U23" s="176">
        <f t="shared" si="0"/>
        <v>150618.4564893541</v>
      </c>
      <c r="V23" s="155">
        <f t="shared" si="1"/>
        <v>155137.01018403473</v>
      </c>
      <c r="W23" s="155">
        <f t="shared" si="6"/>
        <v>159791.1204895558</v>
      </c>
      <c r="X23" s="3"/>
      <c r="Y23" s="3"/>
      <c r="Z23" s="3"/>
      <c r="AA23" s="3"/>
      <c r="AB23" s="3"/>
      <c r="AC23" s="3"/>
      <c r="AD23" s="3"/>
      <c r="AE23" s="3"/>
      <c r="AF23" s="3"/>
      <c r="AG23" s="11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6.5" customHeight="1">
      <c r="A24" s="55">
        <v>1199</v>
      </c>
      <c r="B24" s="33"/>
      <c r="C24" s="30" t="s">
        <v>21</v>
      </c>
      <c r="D24" s="30"/>
      <c r="E24" s="34">
        <f>SUM(E10:E20)-1</f>
        <v>1074692</v>
      </c>
      <c r="F24" s="34">
        <f>SUM(F10:F20)-1</f>
        <v>1493374.65</v>
      </c>
      <c r="G24" s="34">
        <f>SUM(G10:G20)</f>
        <v>1106932.757</v>
      </c>
      <c r="H24" s="34">
        <f>SUM(H10:H20)</f>
        <v>1406032.62975</v>
      </c>
      <c r="I24" s="74">
        <f>SUM(I10:I20)</f>
        <v>1447767.1105875003</v>
      </c>
      <c r="J24" s="34">
        <f>SUM(J10:J20)</f>
        <v>1447767.1105875003</v>
      </c>
      <c r="K24" s="34">
        <f>SUM(K10:K21)</f>
        <v>1591555.466116875</v>
      </c>
      <c r="L24" s="34">
        <f>SUM(L10:L21)</f>
        <v>1591555.466116875</v>
      </c>
      <c r="M24" s="34">
        <f>SUM(M10:M21)</f>
        <v>1671133.2394227185</v>
      </c>
      <c r="N24" s="13"/>
      <c r="O24" s="13"/>
      <c r="P24" s="34">
        <f>SUM(P10:P23)</f>
        <v>2170703.223698891</v>
      </c>
      <c r="Q24" s="34">
        <f>SUM(Q10:Q23)</f>
        <v>2170703.223698891</v>
      </c>
      <c r="R24" s="34">
        <f>SUM(R10:R23)</f>
        <v>0</v>
      </c>
      <c r="S24" s="34">
        <f>SUM(S10:S23)</f>
        <v>2279238.3848838354</v>
      </c>
      <c r="T24" s="177">
        <f>SUM(T10:T23)</f>
        <v>2393200.304128027</v>
      </c>
      <c r="U24" s="197">
        <f t="shared" si="0"/>
        <v>2393200.304128027</v>
      </c>
      <c r="V24" s="189">
        <f t="shared" si="1"/>
        <v>2464996.313251868</v>
      </c>
      <c r="W24" s="189">
        <f t="shared" si="6"/>
        <v>2538946.202649424</v>
      </c>
      <c r="X24" s="3"/>
      <c r="Y24" s="3"/>
      <c r="Z24" s="3"/>
      <c r="AA24" s="114"/>
      <c r="AB24" s="3"/>
      <c r="AC24" s="3"/>
      <c r="AD24" s="3"/>
      <c r="AE24" s="3"/>
      <c r="AF24" s="3"/>
      <c r="AG24" s="11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6.5" customHeight="1">
      <c r="A25" s="52">
        <v>1200</v>
      </c>
      <c r="B25" s="3" t="s">
        <v>14</v>
      </c>
      <c r="C25" s="3"/>
      <c r="D25" s="3"/>
      <c r="E25" s="13"/>
      <c r="F25" s="3"/>
      <c r="G25" s="13"/>
      <c r="H25" s="13"/>
      <c r="I25" s="75"/>
      <c r="J25" s="37"/>
      <c r="K25" s="49"/>
      <c r="L25" s="49"/>
      <c r="M25" s="7"/>
      <c r="N25" s="7"/>
      <c r="O25" s="7"/>
      <c r="P25" s="39"/>
      <c r="Q25" s="39"/>
      <c r="R25" s="39"/>
      <c r="S25" s="39"/>
      <c r="T25" s="176"/>
      <c r="U25" s="196">
        <f t="shared" si="0"/>
        <v>0</v>
      </c>
      <c r="V25" s="39"/>
      <c r="W25" s="39"/>
      <c r="X25" s="114"/>
      <c r="Y25" s="114"/>
      <c r="Z25" s="114"/>
      <c r="AA25" s="11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9.5" customHeight="1">
      <c r="A26" s="41"/>
      <c r="B26" s="14" t="s">
        <v>1</v>
      </c>
      <c r="C26" s="9" t="s">
        <v>110</v>
      </c>
      <c r="D26" s="9"/>
      <c r="E26" s="13">
        <v>150000</v>
      </c>
      <c r="F26" s="13">
        <v>150000</v>
      </c>
      <c r="G26" s="13"/>
      <c r="H26" s="13">
        <v>150000</v>
      </c>
      <c r="I26" s="57"/>
      <c r="J26" s="13">
        <v>150000</v>
      </c>
      <c r="K26" s="161"/>
      <c r="L26" s="90">
        <v>150000</v>
      </c>
      <c r="M26" s="151"/>
      <c r="N26" s="90">
        <v>0</v>
      </c>
      <c r="O26" s="90"/>
      <c r="P26" s="90">
        <v>100000</v>
      </c>
      <c r="Q26" s="90">
        <v>100000</v>
      </c>
      <c r="R26" s="155">
        <f>+Q26-P26</f>
        <v>0</v>
      </c>
      <c r="S26" s="185">
        <v>100000</v>
      </c>
      <c r="T26" s="178"/>
      <c r="U26" s="185">
        <v>100000</v>
      </c>
      <c r="V26" s="69"/>
      <c r="W26" s="69"/>
      <c r="X26" s="114"/>
      <c r="Y26" s="114"/>
      <c r="Z26" s="114"/>
      <c r="AA26" s="114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9.5" customHeight="1">
      <c r="A27" s="41"/>
      <c r="B27" s="14" t="s">
        <v>3</v>
      </c>
      <c r="C27" s="9" t="s">
        <v>108</v>
      </c>
      <c r="D27" s="9"/>
      <c r="E27" s="13"/>
      <c r="F27" s="13"/>
      <c r="G27" s="13"/>
      <c r="H27" s="13"/>
      <c r="I27" s="57"/>
      <c r="J27" s="13"/>
      <c r="K27" s="161"/>
      <c r="L27" s="90"/>
      <c r="M27" s="151"/>
      <c r="N27" s="90"/>
      <c r="O27" s="90"/>
      <c r="P27" s="90"/>
      <c r="Q27" s="90"/>
      <c r="R27" s="155"/>
      <c r="S27" s="185">
        <v>50000</v>
      </c>
      <c r="T27" s="178"/>
      <c r="U27" s="185"/>
      <c r="V27" s="69"/>
      <c r="W27" s="69"/>
      <c r="X27" s="114"/>
      <c r="Y27" s="114"/>
      <c r="Z27" s="114"/>
      <c r="AA27" s="114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20.25" customHeight="1">
      <c r="A28" s="41"/>
      <c r="B28" s="14" t="s">
        <v>5</v>
      </c>
      <c r="C28" s="9" t="s">
        <v>111</v>
      </c>
      <c r="D28" s="9"/>
      <c r="E28" s="13"/>
      <c r="F28" s="13"/>
      <c r="G28" s="13"/>
      <c r="H28" s="13"/>
      <c r="I28" s="57"/>
      <c r="J28" s="13"/>
      <c r="K28" s="161"/>
      <c r="L28" s="90"/>
      <c r="M28" s="151"/>
      <c r="N28" s="90"/>
      <c r="O28" s="90"/>
      <c r="P28" s="90"/>
      <c r="Q28" s="90"/>
      <c r="R28" s="155"/>
      <c r="S28" s="185">
        <v>60000</v>
      </c>
      <c r="T28" s="178"/>
      <c r="U28" s="185"/>
      <c r="V28" s="69"/>
      <c r="W28" s="69"/>
      <c r="X28" s="114"/>
      <c r="Y28" s="114"/>
      <c r="Z28" s="114"/>
      <c r="AA28" s="114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8" customHeight="1">
      <c r="A29" s="55">
        <v>1299</v>
      </c>
      <c r="B29" s="33"/>
      <c r="C29" s="30" t="s">
        <v>21</v>
      </c>
      <c r="D29" s="30"/>
      <c r="E29" s="34">
        <f>SUM(E26)</f>
        <v>150000</v>
      </c>
      <c r="F29" s="34">
        <f>SUM(F26)</f>
        <v>150000</v>
      </c>
      <c r="G29" s="34"/>
      <c r="H29" s="34">
        <f>SUM(H26)</f>
        <v>150000</v>
      </c>
      <c r="I29" s="74">
        <f>SUM(I26)</f>
        <v>0</v>
      </c>
      <c r="J29" s="34">
        <f>SUM(J26)</f>
        <v>150000</v>
      </c>
      <c r="K29" s="34">
        <f>+K26</f>
        <v>0</v>
      </c>
      <c r="L29" s="34">
        <f>SUM(L26)</f>
        <v>150000</v>
      </c>
      <c r="M29" s="34">
        <f>SUM(M26)</f>
        <v>0</v>
      </c>
      <c r="N29" s="34"/>
      <c r="O29" s="34"/>
      <c r="P29" s="34">
        <f aca="true" t="shared" si="8" ref="P29:W29">P26</f>
        <v>100000</v>
      </c>
      <c r="Q29" s="34">
        <f t="shared" si="8"/>
        <v>100000</v>
      </c>
      <c r="R29" s="34">
        <f t="shared" si="8"/>
        <v>0</v>
      </c>
      <c r="S29" s="34">
        <f>SUM(S26:S28)</f>
        <v>210000</v>
      </c>
      <c r="T29" s="179">
        <f t="shared" si="8"/>
        <v>0</v>
      </c>
      <c r="U29" s="34">
        <f>SUM(U26:U28)</f>
        <v>100000</v>
      </c>
      <c r="V29" s="34">
        <f>V26</f>
        <v>0</v>
      </c>
      <c r="W29" s="34">
        <f t="shared" si="8"/>
        <v>0</v>
      </c>
      <c r="X29" s="114"/>
      <c r="Y29" s="114"/>
      <c r="Z29" s="114"/>
      <c r="AA29" s="114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" customHeight="1">
      <c r="A30" s="51">
        <v>1300</v>
      </c>
      <c r="B30" s="3" t="s">
        <v>25</v>
      </c>
      <c r="C30" s="3"/>
      <c r="D30" s="3"/>
      <c r="E30" s="7"/>
      <c r="F30" s="38"/>
      <c r="G30" s="10"/>
      <c r="H30" s="38"/>
      <c r="I30" s="76"/>
      <c r="J30" s="65"/>
      <c r="K30" s="38"/>
      <c r="L30" s="38"/>
      <c r="M30" s="105"/>
      <c r="N30" s="105"/>
      <c r="O30" s="105"/>
      <c r="P30" s="39"/>
      <c r="Q30" s="39"/>
      <c r="R30" s="39"/>
      <c r="S30" s="39"/>
      <c r="T30" s="176"/>
      <c r="U30" s="196">
        <f aca="true" t="shared" si="9" ref="U30:U45">SUM(T30)</f>
        <v>0</v>
      </c>
      <c r="V30" s="39"/>
      <c r="W30" s="39"/>
      <c r="X30" s="114"/>
      <c r="Y30" s="114"/>
      <c r="Z30" s="114"/>
      <c r="AA30" s="114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9.5" customHeight="1">
      <c r="A31" s="56"/>
      <c r="B31" s="5" t="s">
        <v>1</v>
      </c>
      <c r="C31" s="3" t="s">
        <v>104</v>
      </c>
      <c r="D31" s="3" t="s">
        <v>15</v>
      </c>
      <c r="E31" s="15">
        <v>46818</v>
      </c>
      <c r="F31" s="16">
        <v>54000</v>
      </c>
      <c r="G31" s="15">
        <f>47000</f>
        <v>47000</v>
      </c>
      <c r="H31" s="15">
        <f aca="true" t="shared" si="10" ref="H31:H41">+F31*1.05</f>
        <v>56700</v>
      </c>
      <c r="I31" s="77">
        <v>59535</v>
      </c>
      <c r="J31" s="48">
        <f aca="true" t="shared" si="11" ref="J31:J37">SUM(H31*0.05)+H31</f>
        <v>59535</v>
      </c>
      <c r="K31" s="48">
        <v>62511.75</v>
      </c>
      <c r="L31" s="48">
        <f>(+K31*(0.085*2))+K31</f>
        <v>73138.7475</v>
      </c>
      <c r="M31" s="6">
        <v>71216.5111875</v>
      </c>
      <c r="N31" s="13"/>
      <c r="O31" s="13"/>
      <c r="P31" s="13">
        <v>78516.20358421876</v>
      </c>
      <c r="Q31" s="13">
        <v>78516.20358421876</v>
      </c>
      <c r="R31" s="155">
        <f aca="true" t="shared" si="12" ref="R31:R44">+Q31-P31</f>
        <v>0</v>
      </c>
      <c r="S31" s="155">
        <v>82442.0137634297</v>
      </c>
      <c r="T31" s="176">
        <f aca="true" t="shared" si="13" ref="T31:T41">SUM(S31*5%)+S31</f>
        <v>86564.11445160118</v>
      </c>
      <c r="U31" s="196">
        <f t="shared" si="9"/>
        <v>86564.11445160118</v>
      </c>
      <c r="V31" s="155">
        <f aca="true" t="shared" si="14" ref="V31:V52">SUM(T31*3%)+T31</f>
        <v>89161.03788514921</v>
      </c>
      <c r="W31" s="155">
        <f aca="true" t="shared" si="15" ref="W31:W45">SUM(V31*3%)+V31</f>
        <v>91835.8690217037</v>
      </c>
      <c r="X31" s="114"/>
      <c r="Y31" s="114"/>
      <c r="Z31" s="114"/>
      <c r="AA31" s="114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5.75" customHeight="1">
      <c r="A32" s="56"/>
      <c r="B32" s="5" t="s">
        <v>3</v>
      </c>
      <c r="C32" s="3" t="s">
        <v>61</v>
      </c>
      <c r="D32" s="3" t="s">
        <v>16</v>
      </c>
      <c r="E32" s="17">
        <v>42656</v>
      </c>
      <c r="F32" s="18">
        <f>(3578+680)*12</f>
        <v>51096</v>
      </c>
      <c r="G32" s="17">
        <v>43000</v>
      </c>
      <c r="H32" s="23">
        <f t="shared" si="10"/>
        <v>53650.8</v>
      </c>
      <c r="I32" s="57">
        <v>56333.34</v>
      </c>
      <c r="J32" s="13">
        <f t="shared" si="11"/>
        <v>56333.340000000004</v>
      </c>
      <c r="K32" s="13">
        <v>59150.007000000005</v>
      </c>
      <c r="L32" s="48">
        <f aca="true" t="shared" si="16" ref="L32:L41">(+K32*(0.085*2))+K32</f>
        <v>69205.50819000001</v>
      </c>
      <c r="M32" s="13">
        <v>67386.64547475001</v>
      </c>
      <c r="N32" s="13"/>
      <c r="O32" s="13"/>
      <c r="P32" s="13">
        <v>74293.77663591188</v>
      </c>
      <c r="Q32" s="13">
        <v>74293.77663591188</v>
      </c>
      <c r="R32" s="155">
        <f t="shared" si="12"/>
        <v>0</v>
      </c>
      <c r="S32" s="155">
        <v>78008.46546770749</v>
      </c>
      <c r="T32" s="176">
        <f t="shared" si="13"/>
        <v>81908.88874109286</v>
      </c>
      <c r="U32" s="196">
        <f t="shared" si="9"/>
        <v>81908.88874109286</v>
      </c>
      <c r="V32" s="155">
        <f t="shared" si="14"/>
        <v>84366.15540332564</v>
      </c>
      <c r="W32" s="155">
        <f t="shared" si="15"/>
        <v>86897.14006542541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5.75" customHeight="1">
      <c r="A33" s="56"/>
      <c r="B33" s="5" t="s">
        <v>5</v>
      </c>
      <c r="C33" s="3" t="s">
        <v>62</v>
      </c>
      <c r="D33" s="3" t="s">
        <v>15</v>
      </c>
      <c r="E33" s="17">
        <v>46818</v>
      </c>
      <c r="F33" s="18">
        <v>54000</v>
      </c>
      <c r="G33" s="17">
        <v>47000</v>
      </c>
      <c r="H33" s="23">
        <f t="shared" si="10"/>
        <v>56700</v>
      </c>
      <c r="I33" s="57">
        <v>59535</v>
      </c>
      <c r="J33" s="13">
        <f t="shared" si="11"/>
        <v>59535</v>
      </c>
      <c r="K33" s="13">
        <v>62511.75</v>
      </c>
      <c r="L33" s="48">
        <f t="shared" si="16"/>
        <v>73138.7475</v>
      </c>
      <c r="M33" s="13">
        <v>71216.5111875</v>
      </c>
      <c r="N33" s="13"/>
      <c r="O33" s="13"/>
      <c r="P33" s="13">
        <v>78516.20358421876</v>
      </c>
      <c r="Q33" s="13">
        <v>78516.20358421876</v>
      </c>
      <c r="R33" s="155">
        <f t="shared" si="12"/>
        <v>0</v>
      </c>
      <c r="S33" s="155">
        <v>82442.0137634297</v>
      </c>
      <c r="T33" s="176">
        <f t="shared" si="13"/>
        <v>86564.11445160118</v>
      </c>
      <c r="U33" s="196">
        <f t="shared" si="9"/>
        <v>86564.11445160118</v>
      </c>
      <c r="V33" s="155">
        <f t="shared" si="14"/>
        <v>89161.03788514921</v>
      </c>
      <c r="W33" s="155">
        <f t="shared" si="15"/>
        <v>91835.8690217037</v>
      </c>
      <c r="X33" s="114"/>
      <c r="Y33" s="114"/>
      <c r="Z33" s="114"/>
      <c r="AA33" s="114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5.75" customHeight="1">
      <c r="A34" s="56"/>
      <c r="B34" s="5" t="s">
        <v>6</v>
      </c>
      <c r="C34" s="3" t="s">
        <v>96</v>
      </c>
      <c r="D34" s="3" t="s">
        <v>19</v>
      </c>
      <c r="E34" s="17">
        <v>38495</v>
      </c>
      <c r="F34" s="18">
        <v>40000</v>
      </c>
      <c r="G34" s="17">
        <v>39000</v>
      </c>
      <c r="H34" s="23">
        <f t="shared" si="10"/>
        <v>42000</v>
      </c>
      <c r="I34" s="57">
        <v>44100</v>
      </c>
      <c r="J34" s="13">
        <f t="shared" si="11"/>
        <v>44100</v>
      </c>
      <c r="K34" s="13">
        <v>46305</v>
      </c>
      <c r="L34" s="48">
        <f t="shared" si="16"/>
        <v>54176.85</v>
      </c>
      <c r="M34" s="13">
        <v>52752.971249999995</v>
      </c>
      <c r="N34" s="13"/>
      <c r="O34" s="13"/>
      <c r="P34" s="13">
        <v>58160.150803125</v>
      </c>
      <c r="Q34" s="13">
        <v>58160.150803125</v>
      </c>
      <c r="R34" s="155">
        <f t="shared" si="12"/>
        <v>0</v>
      </c>
      <c r="S34" s="155">
        <v>61068.15834328125</v>
      </c>
      <c r="T34" s="176">
        <f t="shared" si="13"/>
        <v>64121.56626044531</v>
      </c>
      <c r="U34" s="196">
        <f t="shared" si="9"/>
        <v>64121.56626044531</v>
      </c>
      <c r="V34" s="155">
        <f t="shared" si="14"/>
        <v>66045.21324825867</v>
      </c>
      <c r="W34" s="155">
        <f t="shared" si="15"/>
        <v>68026.56964570643</v>
      </c>
      <c r="X34" s="114"/>
      <c r="Y34" s="114"/>
      <c r="Z34" s="114"/>
      <c r="AA34" s="1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5.75" customHeight="1">
      <c r="A35" s="56"/>
      <c r="B35" s="5" t="s">
        <v>8</v>
      </c>
      <c r="C35" s="3" t="s">
        <v>96</v>
      </c>
      <c r="D35" s="3" t="s">
        <v>19</v>
      </c>
      <c r="E35" s="17">
        <v>38495</v>
      </c>
      <c r="F35" s="18">
        <v>40000</v>
      </c>
      <c r="G35" s="17">
        <v>39000</v>
      </c>
      <c r="H35" s="23">
        <f t="shared" si="10"/>
        <v>42000</v>
      </c>
      <c r="I35" s="57">
        <v>44100</v>
      </c>
      <c r="J35" s="13">
        <f t="shared" si="11"/>
        <v>44100</v>
      </c>
      <c r="K35" s="13">
        <v>46305</v>
      </c>
      <c r="L35" s="48">
        <f t="shared" si="16"/>
        <v>54176.85</v>
      </c>
      <c r="M35" s="13">
        <v>52752.971249999995</v>
      </c>
      <c r="N35" s="13"/>
      <c r="O35" s="13"/>
      <c r="P35" s="13">
        <v>58160.150803125</v>
      </c>
      <c r="Q35" s="13">
        <v>58160.150803125</v>
      </c>
      <c r="R35" s="155">
        <f t="shared" si="12"/>
        <v>0</v>
      </c>
      <c r="S35" s="155">
        <v>61068.15834328125</v>
      </c>
      <c r="T35" s="176">
        <f t="shared" si="13"/>
        <v>64121.56626044531</v>
      </c>
      <c r="U35" s="196">
        <f t="shared" si="9"/>
        <v>64121.56626044531</v>
      </c>
      <c r="V35" s="155">
        <f t="shared" si="14"/>
        <v>66045.21324825867</v>
      </c>
      <c r="W35" s="155">
        <f t="shared" si="15"/>
        <v>68026.56964570643</v>
      </c>
      <c r="X35" s="114"/>
      <c r="Y35" s="114"/>
      <c r="Z35" s="114"/>
      <c r="AA35" s="11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5.75" customHeight="1">
      <c r="A36" s="56"/>
      <c r="B36" s="5" t="s">
        <v>9</v>
      </c>
      <c r="C36" s="3" t="s">
        <v>63</v>
      </c>
      <c r="D36" s="3" t="s">
        <v>15</v>
      </c>
      <c r="E36" s="17">
        <v>46818</v>
      </c>
      <c r="F36" s="18">
        <v>54000</v>
      </c>
      <c r="G36" s="17">
        <v>47000</v>
      </c>
      <c r="H36" s="23">
        <f t="shared" si="10"/>
        <v>56700</v>
      </c>
      <c r="I36" s="57">
        <v>59535</v>
      </c>
      <c r="J36" s="13">
        <f t="shared" si="11"/>
        <v>59535</v>
      </c>
      <c r="K36" s="13">
        <v>62511.75</v>
      </c>
      <c r="L36" s="48">
        <f t="shared" si="16"/>
        <v>73138.7475</v>
      </c>
      <c r="M36" s="13">
        <v>71216.5111875</v>
      </c>
      <c r="N36" s="13"/>
      <c r="O36" s="13"/>
      <c r="P36" s="13">
        <v>78516.20358421876</v>
      </c>
      <c r="Q36" s="13">
        <v>78516.20358421876</v>
      </c>
      <c r="R36" s="155">
        <f t="shared" si="12"/>
        <v>0</v>
      </c>
      <c r="S36" s="155">
        <v>82442.0137634297</v>
      </c>
      <c r="T36" s="176">
        <f t="shared" si="13"/>
        <v>86564.11445160118</v>
      </c>
      <c r="U36" s="196">
        <f t="shared" si="9"/>
        <v>86564.11445160118</v>
      </c>
      <c r="V36" s="155">
        <f t="shared" si="14"/>
        <v>89161.03788514921</v>
      </c>
      <c r="W36" s="155">
        <f t="shared" si="15"/>
        <v>91835.8690217037</v>
      </c>
      <c r="X36" s="114"/>
      <c r="Y36" s="114"/>
      <c r="Z36" s="114"/>
      <c r="AA36" s="114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5.75" customHeight="1">
      <c r="A37" s="56"/>
      <c r="B37" s="5" t="s">
        <v>10</v>
      </c>
      <c r="C37" s="3" t="s">
        <v>105</v>
      </c>
      <c r="D37" s="3" t="s">
        <v>19</v>
      </c>
      <c r="E37" s="17">
        <v>38495</v>
      </c>
      <c r="F37" s="18">
        <f>(2828+695)*12</f>
        <v>42276</v>
      </c>
      <c r="G37" s="17">
        <v>39000</v>
      </c>
      <c r="H37" s="23">
        <f t="shared" si="10"/>
        <v>44389.8</v>
      </c>
      <c r="I37" s="57">
        <v>46609.29</v>
      </c>
      <c r="J37" s="13">
        <f t="shared" si="11"/>
        <v>46609.29</v>
      </c>
      <c r="K37" s="13">
        <v>48939.7545</v>
      </c>
      <c r="L37" s="48">
        <f t="shared" si="16"/>
        <v>57259.51276500001</v>
      </c>
      <c r="M37" s="13">
        <v>55754.615314125</v>
      </c>
      <c r="N37" s="13"/>
      <c r="O37" s="13"/>
      <c r="P37" s="13">
        <v>61469.463383822826</v>
      </c>
      <c r="Q37" s="13">
        <v>61469.463383822826</v>
      </c>
      <c r="R37" s="155">
        <f t="shared" si="12"/>
        <v>0</v>
      </c>
      <c r="S37" s="155">
        <v>64542.93655301397</v>
      </c>
      <c r="T37" s="176">
        <f t="shared" si="13"/>
        <v>67770.08338066467</v>
      </c>
      <c r="U37" s="196">
        <f t="shared" si="9"/>
        <v>67770.08338066467</v>
      </c>
      <c r="V37" s="155">
        <f t="shared" si="14"/>
        <v>69803.18588208461</v>
      </c>
      <c r="W37" s="155">
        <f t="shared" si="15"/>
        <v>71897.28145854715</v>
      </c>
      <c r="X37" s="114"/>
      <c r="Y37" s="114"/>
      <c r="Z37" s="114"/>
      <c r="AA37" s="114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5.75" customHeight="1">
      <c r="A38" s="56"/>
      <c r="B38" s="5" t="s">
        <v>11</v>
      </c>
      <c r="C38" s="3" t="s">
        <v>69</v>
      </c>
      <c r="D38" s="3" t="s">
        <v>17</v>
      </c>
      <c r="E38" s="17">
        <v>33293</v>
      </c>
      <c r="F38" s="18">
        <v>34000</v>
      </c>
      <c r="G38" s="17">
        <v>34000</v>
      </c>
      <c r="H38" s="23">
        <f t="shared" si="10"/>
        <v>35700</v>
      </c>
      <c r="I38" s="57">
        <v>37485</v>
      </c>
      <c r="J38" s="13">
        <v>50000</v>
      </c>
      <c r="K38" s="13">
        <v>52500</v>
      </c>
      <c r="L38" s="48">
        <f t="shared" si="16"/>
        <v>61425</v>
      </c>
      <c r="M38" s="13">
        <v>59810.625</v>
      </c>
      <c r="N38" s="13"/>
      <c r="O38" s="13"/>
      <c r="P38" s="13">
        <v>65941.2140625</v>
      </c>
      <c r="Q38" s="13">
        <v>65941.2140625</v>
      </c>
      <c r="R38" s="155">
        <f t="shared" si="12"/>
        <v>0</v>
      </c>
      <c r="S38" s="155">
        <v>69238.274765625</v>
      </c>
      <c r="T38" s="176">
        <f t="shared" si="13"/>
        <v>72700.18850390625</v>
      </c>
      <c r="U38" s="196">
        <f t="shared" si="9"/>
        <v>72700.18850390625</v>
      </c>
      <c r="V38" s="155">
        <f t="shared" si="14"/>
        <v>74881.19415902343</v>
      </c>
      <c r="W38" s="155">
        <f t="shared" si="15"/>
        <v>77127.62998379413</v>
      </c>
      <c r="X38" s="114"/>
      <c r="Y38" s="114"/>
      <c r="Z38" s="114"/>
      <c r="AA38" s="114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5.75" customHeight="1">
      <c r="A39" s="56"/>
      <c r="B39" s="92" t="s">
        <v>12</v>
      </c>
      <c r="C39" s="3" t="s">
        <v>75</v>
      </c>
      <c r="D39" s="3" t="s">
        <v>18</v>
      </c>
      <c r="E39" s="17">
        <v>27050</v>
      </c>
      <c r="F39" s="18">
        <f>(2348+393)*12</f>
        <v>32892</v>
      </c>
      <c r="G39" s="17">
        <v>28000</v>
      </c>
      <c r="H39" s="23">
        <f t="shared" si="10"/>
        <v>34536.6</v>
      </c>
      <c r="I39" s="57">
        <v>36263.43</v>
      </c>
      <c r="J39" s="13">
        <f>SUM(H39*0.05)+H39</f>
        <v>36263.43</v>
      </c>
      <c r="K39" s="13">
        <v>40000</v>
      </c>
      <c r="L39" s="48">
        <f t="shared" si="16"/>
        <v>46800</v>
      </c>
      <c r="M39" s="13">
        <v>45570</v>
      </c>
      <c r="N39" s="13"/>
      <c r="O39" s="13"/>
      <c r="P39" s="13">
        <v>50240.925</v>
      </c>
      <c r="Q39" s="13">
        <v>50240.925</v>
      </c>
      <c r="R39" s="155">
        <f t="shared" si="12"/>
        <v>0</v>
      </c>
      <c r="S39" s="155">
        <v>52752.97125</v>
      </c>
      <c r="T39" s="176">
        <f t="shared" si="13"/>
        <v>55390.6198125</v>
      </c>
      <c r="U39" s="196">
        <f t="shared" si="9"/>
        <v>55390.6198125</v>
      </c>
      <c r="V39" s="155">
        <f t="shared" si="14"/>
        <v>57052.338406875</v>
      </c>
      <c r="W39" s="155">
        <f t="shared" si="15"/>
        <v>58763.908559081254</v>
      </c>
      <c r="X39" s="114"/>
      <c r="Y39" s="114"/>
      <c r="Z39" s="114"/>
      <c r="AA39" s="114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5.75" customHeight="1">
      <c r="A40" s="56"/>
      <c r="B40" s="91">
        <v>10</v>
      </c>
      <c r="C40" s="3" t="s">
        <v>64</v>
      </c>
      <c r="D40" s="3" t="s">
        <v>15</v>
      </c>
      <c r="E40" s="17">
        <v>46818</v>
      </c>
      <c r="F40" s="18">
        <v>54000</v>
      </c>
      <c r="G40" s="17">
        <v>47000</v>
      </c>
      <c r="H40" s="23">
        <f t="shared" si="10"/>
        <v>56700</v>
      </c>
      <c r="I40" s="57">
        <v>59535</v>
      </c>
      <c r="J40" s="13">
        <f>SUM(H40*0.05)+H40</f>
        <v>59535</v>
      </c>
      <c r="K40" s="13">
        <v>62511.75</v>
      </c>
      <c r="L40" s="48">
        <f t="shared" si="16"/>
        <v>73138.7475</v>
      </c>
      <c r="M40" s="13">
        <v>71216.5111875</v>
      </c>
      <c r="N40" s="13"/>
      <c r="O40" s="13"/>
      <c r="P40" s="13">
        <v>78516.20358421876</v>
      </c>
      <c r="Q40" s="13">
        <v>78516.20358421876</v>
      </c>
      <c r="R40" s="155">
        <f t="shared" si="12"/>
        <v>0</v>
      </c>
      <c r="S40" s="155">
        <v>82442.0137634297</v>
      </c>
      <c r="T40" s="176">
        <f t="shared" si="13"/>
        <v>86564.11445160118</v>
      </c>
      <c r="U40" s="196">
        <f t="shared" si="9"/>
        <v>86564.11445160118</v>
      </c>
      <c r="V40" s="155">
        <f t="shared" si="14"/>
        <v>89161.03788514921</v>
      </c>
      <c r="W40" s="155">
        <f t="shared" si="15"/>
        <v>91835.8690217037</v>
      </c>
      <c r="X40" s="114"/>
      <c r="Y40" s="114"/>
      <c r="Z40" s="114"/>
      <c r="AA40" s="114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5.75" customHeight="1">
      <c r="A41" s="56"/>
      <c r="B41" s="91">
        <v>11</v>
      </c>
      <c r="C41" s="3" t="s">
        <v>65</v>
      </c>
      <c r="D41" s="3" t="s">
        <v>19</v>
      </c>
      <c r="E41" s="19">
        <v>37454</v>
      </c>
      <c r="F41" s="18">
        <v>40000</v>
      </c>
      <c r="G41" s="17">
        <v>39000</v>
      </c>
      <c r="H41" s="17">
        <f t="shared" si="10"/>
        <v>42000</v>
      </c>
      <c r="I41" s="78">
        <v>44100</v>
      </c>
      <c r="J41" s="53">
        <f>SUM(H41*0.05)+H41</f>
        <v>44100</v>
      </c>
      <c r="K41" s="53">
        <v>46305</v>
      </c>
      <c r="L41" s="13">
        <f t="shared" si="16"/>
        <v>54176.85</v>
      </c>
      <c r="M41" s="13">
        <v>52752.971249999995</v>
      </c>
      <c r="N41" s="13"/>
      <c r="O41" s="13"/>
      <c r="P41" s="13">
        <v>58160.150803125</v>
      </c>
      <c r="Q41" s="13">
        <v>58160.150803125</v>
      </c>
      <c r="R41" s="155">
        <f t="shared" si="12"/>
        <v>0</v>
      </c>
      <c r="S41" s="155">
        <v>61068.15834328125</v>
      </c>
      <c r="T41" s="176">
        <f t="shared" si="13"/>
        <v>64121.56626044531</v>
      </c>
      <c r="U41" s="196">
        <f t="shared" si="9"/>
        <v>64121.56626044531</v>
      </c>
      <c r="V41" s="155">
        <f t="shared" si="14"/>
        <v>66045.21324825867</v>
      </c>
      <c r="W41" s="155">
        <f t="shared" si="15"/>
        <v>68026.56964570643</v>
      </c>
      <c r="X41" s="114"/>
      <c r="Y41" s="114"/>
      <c r="Z41" s="114"/>
      <c r="AA41" s="114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5.75" customHeight="1">
      <c r="A42" s="56"/>
      <c r="B42" s="91">
        <v>12</v>
      </c>
      <c r="C42" s="3" t="s">
        <v>97</v>
      </c>
      <c r="D42" s="3"/>
      <c r="E42" s="96"/>
      <c r="F42" s="18"/>
      <c r="G42" s="17"/>
      <c r="H42" s="17"/>
      <c r="I42" s="97"/>
      <c r="J42" s="98"/>
      <c r="K42" s="53"/>
      <c r="L42" s="53"/>
      <c r="M42" s="53"/>
      <c r="N42" s="109">
        <v>0</v>
      </c>
      <c r="O42" s="155">
        <v>0</v>
      </c>
      <c r="P42" s="13">
        <v>0</v>
      </c>
      <c r="Q42" s="13">
        <v>0</v>
      </c>
      <c r="R42" s="155">
        <f t="shared" si="12"/>
        <v>0</v>
      </c>
      <c r="S42" s="155">
        <v>0</v>
      </c>
      <c r="T42" s="176">
        <v>0</v>
      </c>
      <c r="U42" s="196">
        <f t="shared" si="9"/>
        <v>0</v>
      </c>
      <c r="V42" s="155">
        <f t="shared" si="14"/>
        <v>0</v>
      </c>
      <c r="W42" s="155">
        <f t="shared" si="15"/>
        <v>0</v>
      </c>
      <c r="X42" s="114"/>
      <c r="Y42" s="114"/>
      <c r="Z42" s="114"/>
      <c r="AA42" s="11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5.75" customHeight="1">
      <c r="A43" s="56"/>
      <c r="B43" s="91">
        <v>13</v>
      </c>
      <c r="C43" s="3" t="s">
        <v>112</v>
      </c>
      <c r="D43" s="123"/>
      <c r="E43" s="147"/>
      <c r="F43" s="148"/>
      <c r="G43" s="106"/>
      <c r="H43" s="106"/>
      <c r="I43" s="149"/>
      <c r="J43" s="150"/>
      <c r="K43" s="54"/>
      <c r="L43" s="54"/>
      <c r="M43" s="54"/>
      <c r="N43" s="152"/>
      <c r="O43" s="152"/>
      <c r="P43" s="10">
        <v>58160.150803125</v>
      </c>
      <c r="Q43" s="10">
        <v>58160.150803125</v>
      </c>
      <c r="R43" s="155">
        <f t="shared" si="12"/>
        <v>0</v>
      </c>
      <c r="S43" s="155">
        <v>61068.15834328125</v>
      </c>
      <c r="T43" s="176">
        <f>SUM(S43*5%)+S43</f>
        <v>64121.56626044531</v>
      </c>
      <c r="U43" s="196">
        <f t="shared" si="9"/>
        <v>64121.56626044531</v>
      </c>
      <c r="V43" s="155">
        <f t="shared" si="14"/>
        <v>66045.21324825867</v>
      </c>
      <c r="W43" s="155">
        <f t="shared" si="15"/>
        <v>68026.56964570643</v>
      </c>
      <c r="X43" s="114"/>
      <c r="Y43" s="114"/>
      <c r="Z43" s="114"/>
      <c r="AA43" s="114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5.75" customHeight="1">
      <c r="A44" s="56"/>
      <c r="B44" s="91">
        <v>14</v>
      </c>
      <c r="C44" s="91" t="s">
        <v>105</v>
      </c>
      <c r="D44" s="123"/>
      <c r="E44" s="147"/>
      <c r="F44" s="148"/>
      <c r="G44" s="106"/>
      <c r="H44" s="106"/>
      <c r="I44" s="149"/>
      <c r="J44" s="150"/>
      <c r="K44" s="54"/>
      <c r="L44" s="54"/>
      <c r="M44" s="54"/>
      <c r="N44" s="152"/>
      <c r="O44" s="152"/>
      <c r="P44" s="10">
        <v>58160.150803125</v>
      </c>
      <c r="Q44" s="10">
        <v>58160.150803125</v>
      </c>
      <c r="R44" s="155">
        <f t="shared" si="12"/>
        <v>0</v>
      </c>
      <c r="S44" s="155">
        <v>61068.15834328125</v>
      </c>
      <c r="T44" s="176">
        <f>SUM(S44*5%)+S44</f>
        <v>64121.56626044531</v>
      </c>
      <c r="U44" s="196">
        <f t="shared" si="9"/>
        <v>64121.56626044531</v>
      </c>
      <c r="V44" s="155">
        <f t="shared" si="14"/>
        <v>66045.21324825867</v>
      </c>
      <c r="W44" s="155">
        <f t="shared" si="15"/>
        <v>68026.56964570643</v>
      </c>
      <c r="X44" s="114"/>
      <c r="Y44" s="114"/>
      <c r="Z44" s="114"/>
      <c r="AA44" s="114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9.5" customHeight="1">
      <c r="A45" s="44"/>
      <c r="B45" s="11"/>
      <c r="C45" s="66" t="s">
        <v>21</v>
      </c>
      <c r="D45" s="66"/>
      <c r="E45" s="67">
        <f aca="true" t="shared" si="17" ref="E45:J45">SUM(E31:E41)</f>
        <v>443210</v>
      </c>
      <c r="F45" s="67">
        <f t="shared" si="17"/>
        <v>496264</v>
      </c>
      <c r="G45" s="35">
        <f t="shared" si="17"/>
        <v>449000</v>
      </c>
      <c r="H45" s="35">
        <f t="shared" si="17"/>
        <v>521077.19999999995</v>
      </c>
      <c r="I45" s="79">
        <f t="shared" si="17"/>
        <v>547131.0599999999</v>
      </c>
      <c r="J45" s="68">
        <f t="shared" si="17"/>
        <v>559646.0599999999</v>
      </c>
      <c r="K45" s="54">
        <f>SUM(K31:K41)</f>
        <v>589551.7615</v>
      </c>
      <c r="L45" s="54">
        <f>SUM(L31:L41)</f>
        <v>689775.560955</v>
      </c>
      <c r="M45" s="54">
        <f>SUM(M31:M41)</f>
        <v>671646.844288875</v>
      </c>
      <c r="N45" s="89"/>
      <c r="O45" s="89"/>
      <c r="P45" s="162">
        <f>SUM(P31:P44)</f>
        <v>856810.9474347348</v>
      </c>
      <c r="Q45" s="162">
        <f>SUM(Q31:Q44)</f>
        <v>856810.9474347348</v>
      </c>
      <c r="R45" s="162">
        <f>SUM(R31:R44)</f>
        <v>0</v>
      </c>
      <c r="S45" s="89">
        <f>SUM(S31:S44)</f>
        <v>899651.4948064715</v>
      </c>
      <c r="T45" s="180">
        <f>SUM(T31:T44)</f>
        <v>944634.0695467949</v>
      </c>
      <c r="U45" s="178">
        <f t="shared" si="9"/>
        <v>944634.0695467949</v>
      </c>
      <c r="V45" s="189">
        <f t="shared" si="14"/>
        <v>972973.0916331987</v>
      </c>
      <c r="W45" s="189">
        <f t="shared" si="15"/>
        <v>1002162.2843821946</v>
      </c>
      <c r="X45" s="114"/>
      <c r="Y45" s="114"/>
      <c r="Z45" s="114"/>
      <c r="AA45" s="114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9.5" customHeight="1">
      <c r="A46" s="44">
        <v>1330</v>
      </c>
      <c r="B46" s="11"/>
      <c r="C46" s="12" t="s">
        <v>46</v>
      </c>
      <c r="D46" s="3"/>
      <c r="E46" s="39"/>
      <c r="F46" s="39"/>
      <c r="G46" s="20">
        <v>0</v>
      </c>
      <c r="H46" s="20"/>
      <c r="I46" s="80">
        <v>0</v>
      </c>
      <c r="J46" s="20">
        <v>0</v>
      </c>
      <c r="K46" s="22"/>
      <c r="L46" s="22"/>
      <c r="M46" s="106"/>
      <c r="N46" s="106"/>
      <c r="O46" s="106"/>
      <c r="P46" s="39"/>
      <c r="Q46" s="39"/>
      <c r="R46" s="39"/>
      <c r="S46" s="39"/>
      <c r="T46" s="176"/>
      <c r="U46" s="176"/>
      <c r="V46" s="155">
        <f t="shared" si="14"/>
        <v>0</v>
      </c>
      <c r="W46" s="39"/>
      <c r="X46" s="114"/>
      <c r="Y46" s="114"/>
      <c r="Z46" s="114"/>
      <c r="AA46" s="11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9.5" customHeight="1">
      <c r="A47" s="41">
        <v>1333</v>
      </c>
      <c r="B47" s="8"/>
      <c r="C47" s="9" t="s">
        <v>106</v>
      </c>
      <c r="D47" s="9"/>
      <c r="E47" s="20">
        <v>600000</v>
      </c>
      <c r="F47" s="20">
        <v>600000</v>
      </c>
      <c r="G47" s="20"/>
      <c r="H47" s="20">
        <v>600000</v>
      </c>
      <c r="I47" s="80"/>
      <c r="J47" s="20">
        <v>600000</v>
      </c>
      <c r="K47" s="20">
        <v>600000</v>
      </c>
      <c r="L47" s="20">
        <v>600000</v>
      </c>
      <c r="M47" s="20"/>
      <c r="N47" s="90">
        <v>180000</v>
      </c>
      <c r="O47" s="90"/>
      <c r="P47" s="20">
        <v>260000</v>
      </c>
      <c r="Q47" s="20">
        <v>260000</v>
      </c>
      <c r="R47" s="155">
        <f>+Q47-P47</f>
        <v>0</v>
      </c>
      <c r="S47" s="20">
        <v>260000</v>
      </c>
      <c r="T47" s="176"/>
      <c r="U47" s="20">
        <v>260000</v>
      </c>
      <c r="V47" s="155">
        <f t="shared" si="14"/>
        <v>0</v>
      </c>
      <c r="W47" s="39"/>
      <c r="X47" s="114"/>
      <c r="Y47" s="114"/>
      <c r="Z47" s="114"/>
      <c r="AA47" s="114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9.5" customHeight="1">
      <c r="A48" s="41">
        <v>1334</v>
      </c>
      <c r="B48" s="8"/>
      <c r="C48" s="9" t="s">
        <v>106</v>
      </c>
      <c r="D48" s="9"/>
      <c r="E48" s="20"/>
      <c r="F48" s="20"/>
      <c r="G48" s="20"/>
      <c r="H48" s="20"/>
      <c r="I48" s="80"/>
      <c r="J48" s="20"/>
      <c r="K48" s="20"/>
      <c r="L48" s="20"/>
      <c r="M48" s="173"/>
      <c r="N48" s="90"/>
      <c r="O48" s="90"/>
      <c r="P48" s="20">
        <v>260000</v>
      </c>
      <c r="Q48" s="20">
        <v>260000</v>
      </c>
      <c r="R48" s="155">
        <f>+Q48-P48</f>
        <v>0</v>
      </c>
      <c r="S48" s="20">
        <v>260000</v>
      </c>
      <c r="T48" s="176"/>
      <c r="U48" s="20">
        <v>260000</v>
      </c>
      <c r="V48" s="155">
        <f t="shared" si="14"/>
        <v>0</v>
      </c>
      <c r="W48" s="39"/>
      <c r="X48" s="114"/>
      <c r="Y48" s="114"/>
      <c r="Z48" s="114"/>
      <c r="AA48" s="114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9.5" customHeight="1">
      <c r="A49" s="41">
        <v>1336</v>
      </c>
      <c r="B49" s="8"/>
      <c r="C49" s="9" t="s">
        <v>107</v>
      </c>
      <c r="D49" s="9"/>
      <c r="E49" s="20"/>
      <c r="F49" s="20"/>
      <c r="G49" s="20"/>
      <c r="H49" s="20"/>
      <c r="I49" s="80"/>
      <c r="J49" s="20"/>
      <c r="K49" s="20"/>
      <c r="L49" s="20"/>
      <c r="M49" s="173"/>
      <c r="N49" s="90"/>
      <c r="O49" s="90"/>
      <c r="P49" s="20">
        <v>260000</v>
      </c>
      <c r="Q49" s="20">
        <f>260000+55000+17500</f>
        <v>332500</v>
      </c>
      <c r="R49" s="155">
        <f>+Q49-P49</f>
        <v>72500</v>
      </c>
      <c r="S49" s="20">
        <v>260000</v>
      </c>
      <c r="T49" s="176"/>
      <c r="U49" s="20">
        <v>260000</v>
      </c>
      <c r="V49" s="155">
        <f t="shared" si="14"/>
        <v>0</v>
      </c>
      <c r="W49" s="39"/>
      <c r="X49" s="114"/>
      <c r="Y49" s="114"/>
      <c r="Z49" s="114"/>
      <c r="AA49" s="114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9.5" customHeight="1">
      <c r="A50" s="44">
        <v>1335</v>
      </c>
      <c r="B50" s="8"/>
      <c r="C50" s="9" t="s">
        <v>57</v>
      </c>
      <c r="D50" s="9"/>
      <c r="E50" s="20">
        <v>50000</v>
      </c>
      <c r="F50" s="20">
        <v>50000</v>
      </c>
      <c r="G50" s="20"/>
      <c r="H50" s="20">
        <v>50000</v>
      </c>
      <c r="I50" s="80"/>
      <c r="J50" s="20">
        <v>50000</v>
      </c>
      <c r="K50" s="20">
        <v>50000</v>
      </c>
      <c r="L50" s="20">
        <v>50000</v>
      </c>
      <c r="M50" s="106"/>
      <c r="N50" s="90">
        <v>15000</v>
      </c>
      <c r="O50" s="90"/>
      <c r="P50" s="20">
        <v>65000</v>
      </c>
      <c r="Q50" s="20">
        <v>10000</v>
      </c>
      <c r="R50" s="155">
        <f>+Q50-P50</f>
        <v>-55000</v>
      </c>
      <c r="S50" s="20">
        <v>65000</v>
      </c>
      <c r="T50" s="176"/>
      <c r="U50" s="20">
        <v>65000</v>
      </c>
      <c r="V50" s="155">
        <f t="shared" si="14"/>
        <v>0</v>
      </c>
      <c r="W50" s="39"/>
      <c r="X50" s="114"/>
      <c r="Y50" s="114"/>
      <c r="Z50" s="114"/>
      <c r="AA50" s="114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9.5" customHeight="1">
      <c r="A51" s="44"/>
      <c r="B51" s="8"/>
      <c r="C51" s="30" t="s">
        <v>21</v>
      </c>
      <c r="D51" s="9"/>
      <c r="E51" s="20"/>
      <c r="F51" s="20"/>
      <c r="G51" s="20"/>
      <c r="H51" s="20"/>
      <c r="I51" s="80"/>
      <c r="J51" s="20"/>
      <c r="K51" s="20"/>
      <c r="L51" s="20"/>
      <c r="M51" s="106"/>
      <c r="N51" s="106">
        <v>195000</v>
      </c>
      <c r="O51" s="106">
        <v>0</v>
      </c>
      <c r="P51" s="106">
        <f>SUM(P47:P50)</f>
        <v>845000</v>
      </c>
      <c r="Q51" s="106">
        <f>SUM(Q47:Q50)</f>
        <v>862500</v>
      </c>
      <c r="R51" s="106">
        <f>SUM(R47:R50)</f>
        <v>17500</v>
      </c>
      <c r="S51" s="106">
        <f>SUM(S47:S50)</f>
        <v>845000</v>
      </c>
      <c r="T51" s="148">
        <f>+T47+T50</f>
        <v>0</v>
      </c>
      <c r="U51" s="106">
        <f>SUM(U47:U50)</f>
        <v>845000</v>
      </c>
      <c r="V51" s="155">
        <f t="shared" si="14"/>
        <v>0</v>
      </c>
      <c r="W51" s="106">
        <f>+W47+W50</f>
        <v>0</v>
      </c>
      <c r="X51" s="114"/>
      <c r="Y51" s="114"/>
      <c r="Z51" s="114"/>
      <c r="AA51" s="114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9.5" customHeight="1">
      <c r="A52" s="55">
        <v>1399</v>
      </c>
      <c r="B52" s="33"/>
      <c r="C52" s="30" t="s">
        <v>86</v>
      </c>
      <c r="D52" s="30"/>
      <c r="E52" s="35">
        <f>E45+E47+E50</f>
        <v>1093210</v>
      </c>
      <c r="F52" s="35">
        <f>F45+F47+F50</f>
        <v>1146264</v>
      </c>
      <c r="G52" s="35">
        <f>G45+G46</f>
        <v>449000</v>
      </c>
      <c r="H52" s="35">
        <f>H45+H47+H50</f>
        <v>1171077.2</v>
      </c>
      <c r="I52" s="81">
        <f>I45+I47+I50</f>
        <v>547131.0599999999</v>
      </c>
      <c r="J52" s="35">
        <f>J45+J47+J50</f>
        <v>1209646.06</v>
      </c>
      <c r="K52" s="35">
        <v>1224488</v>
      </c>
      <c r="L52" s="35">
        <f>L45+L47+L50</f>
        <v>1339775.560955</v>
      </c>
      <c r="M52" s="35">
        <f>M45+M47+M50</f>
        <v>671646.844288875</v>
      </c>
      <c r="N52" s="35">
        <v>195000</v>
      </c>
      <c r="O52" s="35">
        <v>0</v>
      </c>
      <c r="P52" s="35">
        <f aca="true" t="shared" si="18" ref="P52:W52">+P51+P45</f>
        <v>1701810.9474347348</v>
      </c>
      <c r="Q52" s="35">
        <f t="shared" si="18"/>
        <v>1719310.9474347348</v>
      </c>
      <c r="R52" s="35">
        <f t="shared" si="18"/>
        <v>17500</v>
      </c>
      <c r="S52" s="35">
        <f t="shared" si="18"/>
        <v>1744651.4948064715</v>
      </c>
      <c r="T52" s="178">
        <f t="shared" si="18"/>
        <v>944634.0695467949</v>
      </c>
      <c r="U52" s="35">
        <f>+U51+U45</f>
        <v>1789634.069546795</v>
      </c>
      <c r="V52" s="189">
        <f t="shared" si="14"/>
        <v>972973.0916331987</v>
      </c>
      <c r="W52" s="178">
        <f t="shared" si="18"/>
        <v>1002162.2843821946</v>
      </c>
      <c r="X52" s="114"/>
      <c r="Y52" s="114"/>
      <c r="Z52" s="114"/>
      <c r="AA52" s="114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s="167" customFormat="1" ht="15" customHeight="1">
      <c r="A53" s="194" t="s">
        <v>114</v>
      </c>
      <c r="B53" s="163"/>
      <c r="C53" s="163"/>
      <c r="D53" s="164"/>
      <c r="E53" s="164"/>
      <c r="F53" s="165"/>
      <c r="G53" s="164"/>
      <c r="H53" s="164"/>
      <c r="I53" s="165"/>
      <c r="J53" s="164"/>
      <c r="K53" s="164"/>
      <c r="L53" s="165"/>
      <c r="M53" s="164"/>
      <c r="N53" s="165"/>
      <c r="O53" s="164"/>
      <c r="P53" s="164"/>
      <c r="Q53" s="164"/>
      <c r="R53" s="164"/>
      <c r="S53" s="164"/>
      <c r="T53" s="166"/>
      <c r="U53" s="166"/>
      <c r="V53" s="164"/>
      <c r="W53" s="164"/>
      <c r="X53" s="166"/>
      <c r="Y53" s="166"/>
      <c r="Z53" s="166"/>
      <c r="AA53" s="166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</row>
    <row r="54" spans="1:42" ht="15" customHeight="1">
      <c r="A54" s="194" t="s">
        <v>121</v>
      </c>
      <c r="B54" s="108"/>
      <c r="C54" s="26"/>
      <c r="D54" s="3"/>
      <c r="E54" s="3"/>
      <c r="F54" s="5"/>
      <c r="G54" s="59"/>
      <c r="H54" s="3"/>
      <c r="I54" s="8"/>
      <c r="J54" s="112"/>
      <c r="K54" s="9"/>
      <c r="L54" s="8"/>
      <c r="M54" s="59"/>
      <c r="N54" s="5"/>
      <c r="O54" s="59"/>
      <c r="P54" s="3"/>
      <c r="Q54" s="3"/>
      <c r="R54" s="3"/>
      <c r="S54" s="5"/>
      <c r="T54" s="114"/>
      <c r="U54" s="114"/>
      <c r="V54" s="5"/>
      <c r="W54" s="5"/>
      <c r="X54" s="114"/>
      <c r="Y54" s="114"/>
      <c r="Z54" s="114"/>
      <c r="AA54" s="114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15" customHeight="1">
      <c r="A55" s="194" t="s">
        <v>120</v>
      </c>
      <c r="B55" s="108"/>
      <c r="C55" s="26"/>
      <c r="D55" s="3"/>
      <c r="E55" s="3"/>
      <c r="F55" s="5"/>
      <c r="G55" s="59"/>
      <c r="H55" s="3"/>
      <c r="I55" s="8"/>
      <c r="J55" s="112"/>
      <c r="K55" s="9"/>
      <c r="L55" s="8"/>
      <c r="M55" s="59"/>
      <c r="N55" s="5"/>
      <c r="O55" s="59"/>
      <c r="P55" s="3"/>
      <c r="Q55" s="3"/>
      <c r="R55" s="3"/>
      <c r="S55" s="5"/>
      <c r="T55" s="114"/>
      <c r="U55" s="114"/>
      <c r="V55" s="5"/>
      <c r="W55" s="5"/>
      <c r="X55" s="114"/>
      <c r="Y55" s="114"/>
      <c r="Z55" s="114"/>
      <c r="AA55" s="114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15.75" customHeight="1">
      <c r="A56" s="1" t="s">
        <v>122</v>
      </c>
      <c r="D56" s="3"/>
      <c r="E56" s="3"/>
      <c r="F56" s="5"/>
      <c r="G56" s="59"/>
      <c r="H56" s="3"/>
      <c r="I56" s="8"/>
      <c r="J56" s="112"/>
      <c r="K56" s="9"/>
      <c r="L56" s="8"/>
      <c r="M56" s="59"/>
      <c r="N56" s="5"/>
      <c r="O56" s="59"/>
      <c r="P56" s="3"/>
      <c r="Q56" s="3"/>
      <c r="R56" s="3"/>
      <c r="S56" s="2"/>
      <c r="T56" s="168"/>
      <c r="U56" s="168"/>
      <c r="V56" s="2"/>
      <c r="W56" s="2"/>
      <c r="X56" s="114"/>
      <c r="Y56" s="114"/>
      <c r="Z56" s="114"/>
      <c r="AA56" s="114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15.75" customHeight="1">
      <c r="A57" s="27" t="s">
        <v>123</v>
      </c>
      <c r="D57" s="3"/>
      <c r="E57" s="3"/>
      <c r="F57" s="5"/>
      <c r="G57" s="59"/>
      <c r="H57" s="3"/>
      <c r="I57" s="8"/>
      <c r="J57" s="112"/>
      <c r="K57" s="9"/>
      <c r="L57" s="8"/>
      <c r="M57" s="59"/>
      <c r="N57" s="5"/>
      <c r="O57" s="59"/>
      <c r="P57" s="3"/>
      <c r="Q57" s="3"/>
      <c r="R57" s="3"/>
      <c r="S57" s="5"/>
      <c r="T57" s="114"/>
      <c r="U57" s="114"/>
      <c r="V57" s="5"/>
      <c r="W57" s="5"/>
      <c r="X57" s="114"/>
      <c r="Y57" s="114"/>
      <c r="Z57" s="114"/>
      <c r="AA57" s="114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ht="15.75" customHeight="1">
      <c r="A58" s="1" t="s">
        <v>125</v>
      </c>
      <c r="D58" s="3"/>
      <c r="E58" s="3"/>
      <c r="F58" s="5"/>
      <c r="G58" s="59"/>
      <c r="H58" s="3"/>
      <c r="I58" s="5"/>
      <c r="J58" s="59"/>
      <c r="K58" s="3"/>
      <c r="L58" s="5"/>
      <c r="M58" s="59"/>
      <c r="N58" s="5"/>
      <c r="O58" s="59"/>
      <c r="P58" s="3"/>
      <c r="Q58" s="3"/>
      <c r="R58" s="3"/>
      <c r="S58" s="5"/>
      <c r="T58" s="114"/>
      <c r="U58" s="114"/>
      <c r="V58" s="5"/>
      <c r="W58" s="5"/>
      <c r="X58" s="114"/>
      <c r="Y58" s="114"/>
      <c r="Z58" s="114"/>
      <c r="AA58" s="114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ht="15.75" customHeight="1">
      <c r="A59" s="1"/>
      <c r="D59" s="3"/>
      <c r="E59" s="3"/>
      <c r="F59" s="5"/>
      <c r="G59" s="59"/>
      <c r="H59" s="3"/>
      <c r="I59" s="5"/>
      <c r="J59" s="59"/>
      <c r="K59" s="3"/>
      <c r="L59" s="5"/>
      <c r="M59" s="59"/>
      <c r="N59" s="5"/>
      <c r="O59" s="59"/>
      <c r="P59" s="3"/>
      <c r="Q59" s="3"/>
      <c r="R59" s="3"/>
      <c r="S59" s="5"/>
      <c r="T59" s="114"/>
      <c r="U59" s="114"/>
      <c r="V59" s="5"/>
      <c r="W59" s="5"/>
      <c r="X59" s="114"/>
      <c r="Y59" s="114"/>
      <c r="Z59" s="114"/>
      <c r="AA59" s="114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ht="15.75" customHeight="1">
      <c r="A60" s="1"/>
      <c r="D60" s="3"/>
      <c r="E60" s="3"/>
      <c r="F60" s="5"/>
      <c r="G60" s="59"/>
      <c r="H60" s="3"/>
      <c r="I60" s="5"/>
      <c r="J60" s="59"/>
      <c r="K60" s="3"/>
      <c r="L60" s="5"/>
      <c r="M60" s="59"/>
      <c r="N60" s="5"/>
      <c r="O60" s="59"/>
      <c r="P60" s="3"/>
      <c r="Q60" s="3"/>
      <c r="R60" s="3"/>
      <c r="S60" s="5"/>
      <c r="T60" s="114"/>
      <c r="U60" s="114"/>
      <c r="V60" s="5"/>
      <c r="W60" s="5"/>
      <c r="X60" s="114"/>
      <c r="Y60" s="114"/>
      <c r="Z60" s="114"/>
      <c r="AA60" s="11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15.75" customHeight="1">
      <c r="A61" s="1"/>
      <c r="D61" s="3"/>
      <c r="E61" s="3"/>
      <c r="F61" s="5"/>
      <c r="G61" s="59"/>
      <c r="H61" s="3"/>
      <c r="I61" s="5"/>
      <c r="J61" s="59"/>
      <c r="K61" s="3"/>
      <c r="L61" s="5"/>
      <c r="M61" s="59"/>
      <c r="N61" s="5"/>
      <c r="O61" s="59"/>
      <c r="P61" s="3"/>
      <c r="Q61" s="3"/>
      <c r="R61" s="3"/>
      <c r="S61" s="5"/>
      <c r="T61" s="114"/>
      <c r="U61" s="114"/>
      <c r="V61" s="5"/>
      <c r="W61" s="5"/>
      <c r="X61" s="114"/>
      <c r="Y61" s="114"/>
      <c r="Z61" s="114"/>
      <c r="AA61" s="114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15.75" customHeight="1">
      <c r="A62" s="1"/>
      <c r="D62" s="3"/>
      <c r="E62" s="3"/>
      <c r="F62" s="5"/>
      <c r="G62" s="59"/>
      <c r="H62" s="3"/>
      <c r="I62" s="5"/>
      <c r="J62" s="59"/>
      <c r="K62" s="3"/>
      <c r="L62" s="5"/>
      <c r="M62" s="59"/>
      <c r="N62" s="5"/>
      <c r="O62" s="59"/>
      <c r="P62" s="3"/>
      <c r="Q62" s="3"/>
      <c r="R62" s="3"/>
      <c r="S62" s="43" t="s">
        <v>76</v>
      </c>
      <c r="T62" s="192" t="s">
        <v>66</v>
      </c>
      <c r="U62" s="192" t="s">
        <v>66</v>
      </c>
      <c r="V62" s="43" t="s">
        <v>76</v>
      </c>
      <c r="W62" s="43" t="s">
        <v>66</v>
      </c>
      <c r="X62" s="114"/>
      <c r="Y62" s="114"/>
      <c r="Z62" s="114"/>
      <c r="AA62" s="11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9.5" customHeight="1">
      <c r="A63" s="1"/>
      <c r="D63" s="3"/>
      <c r="E63" s="3"/>
      <c r="F63" s="5"/>
      <c r="G63" s="59"/>
      <c r="H63" s="3"/>
      <c r="I63" s="5"/>
      <c r="J63" s="59"/>
      <c r="K63" s="3"/>
      <c r="L63" s="5"/>
      <c r="M63" s="59"/>
      <c r="N63" s="116"/>
      <c r="O63" s="117"/>
      <c r="P63" s="93" t="s">
        <v>66</v>
      </c>
      <c r="Q63" s="93" t="s">
        <v>67</v>
      </c>
      <c r="R63" s="174" t="s">
        <v>98</v>
      </c>
      <c r="S63" s="103">
        <v>2010</v>
      </c>
      <c r="T63" s="191">
        <v>2011</v>
      </c>
      <c r="U63" s="191">
        <v>2011</v>
      </c>
      <c r="V63" s="103">
        <v>2012</v>
      </c>
      <c r="W63" s="103">
        <v>2013</v>
      </c>
      <c r="X63" s="114"/>
      <c r="Y63" s="114"/>
      <c r="Z63" s="114"/>
      <c r="AA63" s="114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19.5" customHeight="1">
      <c r="A64" s="51">
        <v>1600</v>
      </c>
      <c r="B64" s="45" t="s">
        <v>47</v>
      </c>
      <c r="C64" s="39"/>
      <c r="D64" s="50"/>
      <c r="E64" s="32"/>
      <c r="F64" s="32"/>
      <c r="G64" s="156">
        <v>0</v>
      </c>
      <c r="H64" s="32"/>
      <c r="I64" s="57">
        <v>0</v>
      </c>
      <c r="J64" s="23">
        <v>0</v>
      </c>
      <c r="K64" s="23">
        <v>0</v>
      </c>
      <c r="L64" s="23">
        <v>0</v>
      </c>
      <c r="M64" s="21"/>
      <c r="N64" s="103" t="s">
        <v>82</v>
      </c>
      <c r="O64" s="103"/>
      <c r="P64" s="103">
        <v>2009</v>
      </c>
      <c r="Q64" s="103">
        <v>2009</v>
      </c>
      <c r="R64" s="131">
        <v>2009</v>
      </c>
      <c r="S64" s="39"/>
      <c r="T64" s="39"/>
      <c r="U64" s="39"/>
      <c r="V64" s="39"/>
      <c r="W64" s="39"/>
      <c r="X64" s="114"/>
      <c r="Y64" s="114"/>
      <c r="Z64" s="114"/>
      <c r="AA64" s="114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19.5" customHeight="1">
      <c r="A65" s="44"/>
      <c r="B65" s="45" t="s">
        <v>1</v>
      </c>
      <c r="C65" s="9" t="s">
        <v>26</v>
      </c>
      <c r="D65" s="9"/>
      <c r="E65" s="23">
        <v>160000</v>
      </c>
      <c r="F65" s="23">
        <v>160000</v>
      </c>
      <c r="G65" s="23"/>
      <c r="H65" s="23">
        <v>160000</v>
      </c>
      <c r="I65" s="57"/>
      <c r="J65" s="23">
        <v>160000</v>
      </c>
      <c r="K65" s="23">
        <v>160000</v>
      </c>
      <c r="L65" s="23">
        <v>160000</v>
      </c>
      <c r="M65" s="24"/>
      <c r="N65" s="90">
        <v>48000</v>
      </c>
      <c r="O65" s="90"/>
      <c r="P65" s="23">
        <v>208000</v>
      </c>
      <c r="Q65" s="23">
        <v>208000</v>
      </c>
      <c r="R65" s="155">
        <f>+Q65-P65</f>
        <v>0</v>
      </c>
      <c r="S65" s="23">
        <v>208000</v>
      </c>
      <c r="T65" s="176"/>
      <c r="U65" s="23">
        <v>208000</v>
      </c>
      <c r="V65" s="39"/>
      <c r="W65" s="39"/>
      <c r="X65" s="114"/>
      <c r="Y65" s="114"/>
      <c r="Z65" s="114"/>
      <c r="AA65" s="114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19.5" customHeight="1">
      <c r="A66" s="44"/>
      <c r="B66" s="160" t="s">
        <v>3</v>
      </c>
      <c r="C66" s="9" t="s">
        <v>85</v>
      </c>
      <c r="D66" s="9"/>
      <c r="E66" s="23"/>
      <c r="F66" s="23"/>
      <c r="G66" s="23"/>
      <c r="H66" s="23"/>
      <c r="I66" s="57"/>
      <c r="J66" s="23"/>
      <c r="K66" s="23"/>
      <c r="L66" s="23"/>
      <c r="M66" s="24"/>
      <c r="N66" s="90">
        <v>20000</v>
      </c>
      <c r="O66" s="90"/>
      <c r="P66" s="23">
        <v>20000</v>
      </c>
      <c r="Q66" s="23">
        <v>20000</v>
      </c>
      <c r="R66" s="155">
        <f>+Q66-P66</f>
        <v>0</v>
      </c>
      <c r="S66" s="23">
        <v>20000</v>
      </c>
      <c r="T66" s="176"/>
      <c r="U66" s="23">
        <v>20000</v>
      </c>
      <c r="V66" s="39"/>
      <c r="W66" s="39"/>
      <c r="X66" s="114"/>
      <c r="Y66" s="114"/>
      <c r="Z66" s="114"/>
      <c r="AA66" s="114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ht="19.5" customHeight="1">
      <c r="A67" s="118" t="s">
        <v>84</v>
      </c>
      <c r="B67" s="119"/>
      <c r="C67" s="30" t="s">
        <v>21</v>
      </c>
      <c r="D67" s="120"/>
      <c r="E67" s="24"/>
      <c r="F67" s="24"/>
      <c r="G67" s="24"/>
      <c r="H67" s="24"/>
      <c r="I67" s="74"/>
      <c r="J67" s="24"/>
      <c r="K67" s="24"/>
      <c r="L67" s="24"/>
      <c r="M67" s="24"/>
      <c r="N67" s="101"/>
      <c r="O67" s="90"/>
      <c r="P67" s="24">
        <f aca="true" t="shared" si="19" ref="P67:W67">+P65+P66</f>
        <v>228000</v>
      </c>
      <c r="Q67" s="24">
        <f t="shared" si="19"/>
        <v>228000</v>
      </c>
      <c r="R67" s="24">
        <f t="shared" si="19"/>
        <v>0</v>
      </c>
      <c r="S67" s="24">
        <f t="shared" si="19"/>
        <v>228000</v>
      </c>
      <c r="T67" s="86">
        <f t="shared" si="19"/>
        <v>0</v>
      </c>
      <c r="U67" s="24">
        <f>+U65+U66</f>
        <v>228000</v>
      </c>
      <c r="V67" s="24">
        <f>+V65+V66</f>
        <v>0</v>
      </c>
      <c r="W67" s="24">
        <f t="shared" si="19"/>
        <v>0</v>
      </c>
      <c r="X67" s="114"/>
      <c r="Y67" s="114"/>
      <c r="Z67" s="114"/>
      <c r="AA67" s="114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ht="19.5" customHeight="1">
      <c r="A68" s="55">
        <v>1999</v>
      </c>
      <c r="B68" s="33"/>
      <c r="C68" s="30" t="s">
        <v>27</v>
      </c>
      <c r="D68" s="12"/>
      <c r="E68" s="24">
        <f>SUM(E65+E52+E29+E24)</f>
        <v>2477902</v>
      </c>
      <c r="F68" s="24">
        <f>SUM(F65+F52+F29+F24)</f>
        <v>2949638.65</v>
      </c>
      <c r="G68" s="23">
        <f>G24+G29+G45+G46+G47+G65</f>
        <v>1555932.757</v>
      </c>
      <c r="H68" s="24">
        <f>SUM(H65+H52+H29+H24)</f>
        <v>2887109.82975</v>
      </c>
      <c r="I68" s="74">
        <f>SUM(I65+I52+I29+I24)</f>
        <v>1994898.1705875</v>
      </c>
      <c r="J68" s="24">
        <f>SUM(J65+J52+J29+J24)</f>
        <v>2967413.1705875006</v>
      </c>
      <c r="K68" s="24">
        <v>3065553</v>
      </c>
      <c r="L68" s="24">
        <f>SUM(L65+L52+L29+L24)</f>
        <v>3241331.027071875</v>
      </c>
      <c r="M68" s="24">
        <f>SUM(M65+M52+M29+M24)</f>
        <v>2342780.0837115934</v>
      </c>
      <c r="N68" s="24"/>
      <c r="O68" s="24"/>
      <c r="P68" s="24">
        <f aca="true" t="shared" si="20" ref="P68:W68">+P67+P52+P29+P24</f>
        <v>4200514.171133625</v>
      </c>
      <c r="Q68" s="24">
        <f t="shared" si="20"/>
        <v>4218014.171133625</v>
      </c>
      <c r="R68" s="24">
        <f t="shared" si="20"/>
        <v>17500</v>
      </c>
      <c r="S68" s="24">
        <f t="shared" si="20"/>
        <v>4461889.879690306</v>
      </c>
      <c r="T68" s="181">
        <f t="shared" si="20"/>
        <v>3337834.373674822</v>
      </c>
      <c r="U68" s="24">
        <f t="shared" si="20"/>
        <v>4510834.373674822</v>
      </c>
      <c r="V68" s="181">
        <f t="shared" si="20"/>
        <v>3437969.4048850667</v>
      </c>
      <c r="W68" s="181">
        <f t="shared" si="20"/>
        <v>3541108.4870316186</v>
      </c>
      <c r="X68" s="114"/>
      <c r="Y68" s="114"/>
      <c r="Z68" s="114"/>
      <c r="AA68" s="114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ht="15" customHeight="1">
      <c r="A69" s="44">
        <v>20</v>
      </c>
      <c r="B69" s="58" t="s">
        <v>40</v>
      </c>
      <c r="C69" s="58"/>
      <c r="D69" s="39"/>
      <c r="E69" s="23"/>
      <c r="F69" s="23"/>
      <c r="G69" s="23"/>
      <c r="H69" s="23"/>
      <c r="I69" s="57"/>
      <c r="J69" s="73"/>
      <c r="K69" s="100"/>
      <c r="L69" s="100"/>
      <c r="M69" s="24"/>
      <c r="N69" s="24"/>
      <c r="O69" s="24"/>
      <c r="P69" s="39"/>
      <c r="Q69" s="39"/>
      <c r="R69" s="39"/>
      <c r="S69" s="39"/>
      <c r="T69" s="176"/>
      <c r="U69" s="176"/>
      <c r="V69" s="39"/>
      <c r="W69" s="39"/>
      <c r="X69" s="114"/>
      <c r="Y69" s="114"/>
      <c r="Z69" s="114"/>
      <c r="AA69" s="114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ht="19.5" customHeight="1">
      <c r="A70" s="44">
        <v>2100</v>
      </c>
      <c r="B70" s="39" t="s">
        <v>48</v>
      </c>
      <c r="C70" s="39"/>
      <c r="D70" s="39"/>
      <c r="E70" s="23"/>
      <c r="F70" s="23"/>
      <c r="G70" s="23"/>
      <c r="H70" s="23"/>
      <c r="I70" s="57"/>
      <c r="J70" s="29"/>
      <c r="K70" s="85"/>
      <c r="L70" s="85"/>
      <c r="M70" s="24"/>
      <c r="N70" s="24"/>
      <c r="O70" s="24"/>
      <c r="P70" s="39"/>
      <c r="Q70" s="39"/>
      <c r="R70" s="39"/>
      <c r="S70" s="39"/>
      <c r="T70" s="176"/>
      <c r="U70" s="176"/>
      <c r="V70" s="39"/>
      <c r="W70" s="39"/>
      <c r="X70" s="114"/>
      <c r="Y70" s="114"/>
      <c r="Z70" s="114"/>
      <c r="AA70" s="114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ht="19.5" customHeight="1">
      <c r="A71" s="44"/>
      <c r="B71" s="45" t="s">
        <v>1</v>
      </c>
      <c r="C71" s="39" t="s">
        <v>109</v>
      </c>
      <c r="D71" s="39"/>
      <c r="E71" s="23">
        <v>30000</v>
      </c>
      <c r="F71" s="23">
        <v>30000</v>
      </c>
      <c r="G71" s="23"/>
      <c r="H71" s="23">
        <v>30000</v>
      </c>
      <c r="I71" s="57">
        <v>0</v>
      </c>
      <c r="J71" s="29">
        <v>0</v>
      </c>
      <c r="K71" s="85">
        <v>500000</v>
      </c>
      <c r="L71" s="85">
        <v>500000</v>
      </c>
      <c r="M71" s="23"/>
      <c r="N71" s="90">
        <v>0</v>
      </c>
      <c r="O71" s="90"/>
      <c r="P71" s="23">
        <v>500000</v>
      </c>
      <c r="Q71" s="23">
        <v>500000</v>
      </c>
      <c r="R71" s="155">
        <f>+Q71-P71</f>
        <v>0</v>
      </c>
      <c r="S71" s="23">
        <v>500000</v>
      </c>
      <c r="T71" s="176"/>
      <c r="U71" s="23">
        <v>500000</v>
      </c>
      <c r="V71" s="39"/>
      <c r="W71" s="39"/>
      <c r="X71" s="114"/>
      <c r="Y71" s="114"/>
      <c r="Z71" s="114"/>
      <c r="AA71" s="114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ht="19.5" customHeight="1" hidden="1">
      <c r="A72" s="44">
        <v>2200</v>
      </c>
      <c r="B72" s="39" t="s">
        <v>56</v>
      </c>
      <c r="C72" s="39"/>
      <c r="D72" s="39"/>
      <c r="E72" s="23"/>
      <c r="F72" s="23"/>
      <c r="G72" s="39"/>
      <c r="H72" s="39"/>
      <c r="I72" s="115"/>
      <c r="J72" s="107"/>
      <c r="K72" s="36"/>
      <c r="L72" s="36"/>
      <c r="M72" s="24"/>
      <c r="N72" s="24"/>
      <c r="O72" s="24"/>
      <c r="P72" s="24"/>
      <c r="Q72" s="24"/>
      <c r="R72" s="24"/>
      <c r="S72" s="39"/>
      <c r="T72" s="176"/>
      <c r="U72" s="39"/>
      <c r="V72" s="39"/>
      <c r="W72" s="39"/>
      <c r="X72" s="114"/>
      <c r="Y72" s="114"/>
      <c r="Z72" s="114"/>
      <c r="AA72" s="114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ht="19.5" customHeight="1" hidden="1">
      <c r="A73" s="44"/>
      <c r="B73" s="45" t="s">
        <v>1</v>
      </c>
      <c r="C73" s="39" t="s">
        <v>77</v>
      </c>
      <c r="D73" s="39"/>
      <c r="E73" s="23"/>
      <c r="F73" s="23"/>
      <c r="G73" s="39"/>
      <c r="H73" s="39"/>
      <c r="I73" s="115"/>
      <c r="J73" s="107"/>
      <c r="K73" s="36"/>
      <c r="L73" s="36"/>
      <c r="M73" s="24"/>
      <c r="N73" s="24"/>
      <c r="O73" s="24"/>
      <c r="P73" s="24"/>
      <c r="Q73" s="24"/>
      <c r="R73" s="24"/>
      <c r="S73" s="39"/>
      <c r="T73" s="176"/>
      <c r="U73" s="39"/>
      <c r="V73" s="39"/>
      <c r="W73" s="39"/>
      <c r="X73" s="114"/>
      <c r="Y73" s="114"/>
      <c r="Z73" s="114"/>
      <c r="AA73" s="114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ht="19.5" customHeight="1" hidden="1">
      <c r="A74" s="44"/>
      <c r="B74" s="45" t="s">
        <v>3</v>
      </c>
      <c r="C74" s="39" t="s">
        <v>77</v>
      </c>
      <c r="D74" s="39"/>
      <c r="E74" s="23"/>
      <c r="F74" s="23"/>
      <c r="G74" s="39"/>
      <c r="H74" s="39"/>
      <c r="I74" s="115"/>
      <c r="J74" s="107"/>
      <c r="K74" s="36"/>
      <c r="L74" s="36"/>
      <c r="M74" s="24"/>
      <c r="N74" s="24"/>
      <c r="O74" s="24"/>
      <c r="P74" s="24"/>
      <c r="Q74" s="24"/>
      <c r="R74" s="24"/>
      <c r="S74" s="39"/>
      <c r="T74" s="176"/>
      <c r="U74" s="39"/>
      <c r="V74" s="39"/>
      <c r="W74" s="39"/>
      <c r="X74" s="114"/>
      <c r="Y74" s="114"/>
      <c r="Z74" s="114"/>
      <c r="AA74" s="114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ht="19.5" customHeight="1">
      <c r="A75" s="44"/>
      <c r="B75" s="45" t="s">
        <v>3</v>
      </c>
      <c r="C75" s="39" t="s">
        <v>128</v>
      </c>
      <c r="D75" s="39"/>
      <c r="E75" s="23"/>
      <c r="F75" s="23"/>
      <c r="G75" s="39"/>
      <c r="H75" s="39"/>
      <c r="I75" s="115"/>
      <c r="J75" s="107"/>
      <c r="K75" s="36"/>
      <c r="L75" s="36"/>
      <c r="M75" s="24"/>
      <c r="N75" s="86"/>
      <c r="O75" s="86"/>
      <c r="P75" s="86"/>
      <c r="Q75" s="86"/>
      <c r="R75" s="86"/>
      <c r="S75" s="36"/>
      <c r="T75" s="176"/>
      <c r="U75" s="23">
        <v>800000</v>
      </c>
      <c r="V75" s="36"/>
      <c r="W75" s="36"/>
      <c r="X75" s="114"/>
      <c r="Y75" s="114"/>
      <c r="Z75" s="114"/>
      <c r="AA75" s="114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ht="19.5" customHeight="1">
      <c r="A76" s="55">
        <v>2999</v>
      </c>
      <c r="B76" s="121"/>
      <c r="C76" s="69" t="s">
        <v>27</v>
      </c>
      <c r="D76" s="39"/>
      <c r="E76" s="24" t="e">
        <f>SUM(#REF!)</f>
        <v>#REF!</v>
      </c>
      <c r="F76" s="24" t="e">
        <f>SUM(#REF!)</f>
        <v>#REF!</v>
      </c>
      <c r="G76" s="23"/>
      <c r="H76" s="24">
        <f>SUM(H71:H72)</f>
        <v>30000</v>
      </c>
      <c r="I76" s="74">
        <f>SUM(I71:I72)</f>
        <v>0</v>
      </c>
      <c r="J76" s="71">
        <f>SUM(J71:J72)</f>
        <v>0</v>
      </c>
      <c r="K76" s="86">
        <f>SUM(K71:K72)</f>
        <v>500000</v>
      </c>
      <c r="L76" s="86">
        <f>SUM(L71:L72)</f>
        <v>500000</v>
      </c>
      <c r="M76" s="24"/>
      <c r="N76" s="86"/>
      <c r="O76" s="86"/>
      <c r="P76" s="86">
        <f aca="true" t="shared" si="21" ref="P76:W76">P71</f>
        <v>500000</v>
      </c>
      <c r="Q76" s="86">
        <f t="shared" si="21"/>
        <v>500000</v>
      </c>
      <c r="R76" s="86">
        <f t="shared" si="21"/>
        <v>0</v>
      </c>
      <c r="S76" s="86">
        <f t="shared" si="21"/>
        <v>500000</v>
      </c>
      <c r="T76" s="86">
        <f t="shared" si="21"/>
        <v>0</v>
      </c>
      <c r="U76" s="86">
        <v>1300000</v>
      </c>
      <c r="V76" s="86">
        <f>V71</f>
        <v>0</v>
      </c>
      <c r="W76" s="86">
        <f t="shared" si="21"/>
        <v>0</v>
      </c>
      <c r="X76" s="114"/>
      <c r="Y76" s="114"/>
      <c r="Z76" s="114"/>
      <c r="AA76" s="114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ht="19.5" customHeight="1">
      <c r="A77" s="44">
        <v>30</v>
      </c>
      <c r="B77" s="39" t="s">
        <v>43</v>
      </c>
      <c r="C77" s="39"/>
      <c r="D77" s="39"/>
      <c r="E77" s="23"/>
      <c r="F77" s="23"/>
      <c r="G77" s="23"/>
      <c r="H77" s="23"/>
      <c r="I77" s="57"/>
      <c r="J77" s="29"/>
      <c r="K77" s="85"/>
      <c r="L77" s="85"/>
      <c r="M77" s="24"/>
      <c r="N77" s="24"/>
      <c r="O77" s="24"/>
      <c r="P77" s="39"/>
      <c r="Q77" s="39"/>
      <c r="R77" s="39"/>
      <c r="S77" s="39"/>
      <c r="T77" s="176"/>
      <c r="U77" s="176"/>
      <c r="V77" s="39"/>
      <c r="W77" s="39"/>
      <c r="X77" s="114"/>
      <c r="Y77" s="114"/>
      <c r="Z77" s="114"/>
      <c r="AA77" s="114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ht="19.5" customHeight="1">
      <c r="A78" s="51">
        <v>3300</v>
      </c>
      <c r="B78" s="39" t="s">
        <v>45</v>
      </c>
      <c r="C78" s="39"/>
      <c r="D78" s="39"/>
      <c r="E78" s="23"/>
      <c r="F78" s="23"/>
      <c r="G78" s="23"/>
      <c r="H78" s="23"/>
      <c r="I78" s="57"/>
      <c r="J78" s="29"/>
      <c r="K78" s="85"/>
      <c r="L78" s="85"/>
      <c r="M78" s="24"/>
      <c r="N78" s="24"/>
      <c r="O78" s="24"/>
      <c r="P78" s="39"/>
      <c r="Q78" s="39"/>
      <c r="R78" s="39"/>
      <c r="S78" s="39"/>
      <c r="T78" s="176"/>
      <c r="U78" s="176"/>
      <c r="V78" s="39"/>
      <c r="W78" s="39"/>
      <c r="X78" s="3"/>
      <c r="Y78" s="3"/>
      <c r="Z78" s="114"/>
      <c r="AA78" s="114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ht="21.75" customHeight="1">
      <c r="A79" s="44"/>
      <c r="B79" s="141" t="s">
        <v>1</v>
      </c>
      <c r="C79" s="39" t="s">
        <v>42</v>
      </c>
      <c r="D79" s="39"/>
      <c r="E79" s="23">
        <v>30000</v>
      </c>
      <c r="F79" s="23">
        <v>30000</v>
      </c>
      <c r="G79" s="23"/>
      <c r="H79" s="23">
        <v>30000</v>
      </c>
      <c r="I79" s="57">
        <v>0</v>
      </c>
      <c r="J79" s="29">
        <v>30000</v>
      </c>
      <c r="K79" s="85">
        <v>30000</v>
      </c>
      <c r="L79" s="85">
        <v>30000</v>
      </c>
      <c r="M79" s="24"/>
      <c r="N79" s="143">
        <v>-5000</v>
      </c>
      <c r="O79" s="143"/>
      <c r="P79" s="23">
        <v>15000</v>
      </c>
      <c r="Q79" s="23">
        <v>15000</v>
      </c>
      <c r="R79" s="155">
        <f>+Q79-P79</f>
        <v>0</v>
      </c>
      <c r="S79" s="23">
        <v>15000</v>
      </c>
      <c r="T79" s="176"/>
      <c r="U79" s="23">
        <v>15000</v>
      </c>
      <c r="V79" s="39"/>
      <c r="W79" s="39"/>
      <c r="X79" s="3"/>
      <c r="Y79" s="3"/>
      <c r="Z79" s="114"/>
      <c r="AA79" s="114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ht="21.75" customHeight="1">
      <c r="A80" s="44"/>
      <c r="B80" s="141" t="s">
        <v>3</v>
      </c>
      <c r="C80" s="39" t="s">
        <v>70</v>
      </c>
      <c r="D80" s="39"/>
      <c r="E80" s="23">
        <v>225000</v>
      </c>
      <c r="F80" s="23">
        <v>225000</v>
      </c>
      <c r="G80" s="23"/>
      <c r="H80" s="23">
        <v>225000</v>
      </c>
      <c r="I80" s="57">
        <v>0</v>
      </c>
      <c r="J80" s="29">
        <v>225000</v>
      </c>
      <c r="K80" s="85">
        <v>225000</v>
      </c>
      <c r="L80" s="85">
        <v>225000</v>
      </c>
      <c r="M80" s="24"/>
      <c r="N80" s="90">
        <v>0</v>
      </c>
      <c r="O80" s="90"/>
      <c r="P80" s="23">
        <v>225000</v>
      </c>
      <c r="Q80" s="23">
        <v>225000</v>
      </c>
      <c r="R80" s="155">
        <f>+Q80-P80</f>
        <v>0</v>
      </c>
      <c r="S80" s="23">
        <v>225000</v>
      </c>
      <c r="T80" s="176"/>
      <c r="U80" s="23">
        <v>225000</v>
      </c>
      <c r="V80" s="39"/>
      <c r="W80" s="39"/>
      <c r="X80" s="3"/>
      <c r="Y80" s="3"/>
      <c r="Z80" s="114"/>
      <c r="AA80" s="114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ht="21.75" customHeight="1">
      <c r="A81" s="142">
        <v>3999</v>
      </c>
      <c r="B81" s="121"/>
      <c r="C81" s="69" t="s">
        <v>27</v>
      </c>
      <c r="D81" s="39"/>
      <c r="E81" s="24">
        <f>SUM(E79:E80)</f>
        <v>255000</v>
      </c>
      <c r="F81" s="24">
        <f>SUM(F79:F80)</f>
        <v>255000</v>
      </c>
      <c r="G81" s="23"/>
      <c r="H81" s="24">
        <f>SUM(H79:H80)</f>
        <v>255000</v>
      </c>
      <c r="I81" s="74">
        <f>SUM(I79:I80)</f>
        <v>0</v>
      </c>
      <c r="J81" s="71">
        <f>SUM(J79:J80)</f>
        <v>255000</v>
      </c>
      <c r="K81" s="86">
        <f>SUM(K79:K80)</f>
        <v>255000</v>
      </c>
      <c r="L81" s="86">
        <f>SUM(L79:L80)</f>
        <v>255000</v>
      </c>
      <c r="M81" s="24"/>
      <c r="N81" s="86"/>
      <c r="O81" s="86"/>
      <c r="P81" s="86">
        <f aca="true" t="shared" si="22" ref="P81:W81">+P79+P80</f>
        <v>240000</v>
      </c>
      <c r="Q81" s="86">
        <f t="shared" si="22"/>
        <v>240000</v>
      </c>
      <c r="R81" s="86">
        <f t="shared" si="22"/>
        <v>0</v>
      </c>
      <c r="S81" s="86">
        <f t="shared" si="22"/>
        <v>240000</v>
      </c>
      <c r="T81" s="86">
        <f t="shared" si="22"/>
        <v>0</v>
      </c>
      <c r="U81" s="86">
        <f>+U79+U80</f>
        <v>240000</v>
      </c>
      <c r="V81" s="86">
        <f>+V79+V80</f>
        <v>0</v>
      </c>
      <c r="W81" s="86">
        <f t="shared" si="22"/>
        <v>0</v>
      </c>
      <c r="X81" s="3"/>
      <c r="Y81" s="3"/>
      <c r="Z81" s="114"/>
      <c r="AA81" s="114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ht="19.5" customHeight="1">
      <c r="A82" s="44">
        <v>40</v>
      </c>
      <c r="B82" s="39" t="s">
        <v>29</v>
      </c>
      <c r="C82" s="39"/>
      <c r="D82" s="39"/>
      <c r="E82" s="23"/>
      <c r="F82" s="23"/>
      <c r="G82" s="23"/>
      <c r="H82" s="23"/>
      <c r="I82" s="57"/>
      <c r="J82" s="29"/>
      <c r="K82" s="85"/>
      <c r="L82" s="85"/>
      <c r="M82" s="24"/>
      <c r="N82" s="24"/>
      <c r="O82" s="24"/>
      <c r="P82" s="39"/>
      <c r="Q82" s="39"/>
      <c r="R82" s="39"/>
      <c r="S82" s="39"/>
      <c r="T82" s="176"/>
      <c r="U82" s="176"/>
      <c r="V82" s="39"/>
      <c r="W82" s="39"/>
      <c r="X82" s="3"/>
      <c r="Y82" s="3"/>
      <c r="Z82" s="114"/>
      <c r="AA82" s="114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ht="19.5" customHeight="1">
      <c r="A83" s="51">
        <v>4100</v>
      </c>
      <c r="B83" s="39" t="s">
        <v>30</v>
      </c>
      <c r="C83" s="39"/>
      <c r="D83" s="39"/>
      <c r="E83" s="24"/>
      <c r="F83" s="24"/>
      <c r="G83" s="24"/>
      <c r="H83" s="24"/>
      <c r="I83" s="57"/>
      <c r="J83" s="29"/>
      <c r="K83" s="85"/>
      <c r="L83" s="85"/>
      <c r="M83" s="24"/>
      <c r="N83" s="24"/>
      <c r="O83" s="24"/>
      <c r="P83" s="39"/>
      <c r="Q83" s="39"/>
      <c r="R83" s="39"/>
      <c r="S83" s="39"/>
      <c r="T83" s="176"/>
      <c r="U83" s="176"/>
      <c r="V83" s="39"/>
      <c r="W83" s="39"/>
      <c r="X83" s="3"/>
      <c r="Y83" s="3"/>
      <c r="Z83" s="114"/>
      <c r="AA83" s="114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ht="21.75" customHeight="1">
      <c r="A84" s="44"/>
      <c r="B84" s="141" t="s">
        <v>1</v>
      </c>
      <c r="C84" s="39" t="s">
        <v>31</v>
      </c>
      <c r="D84" s="39"/>
      <c r="E84" s="23">
        <v>15000</v>
      </c>
      <c r="F84" s="23">
        <v>15000</v>
      </c>
      <c r="G84" s="24"/>
      <c r="H84" s="23">
        <v>15000</v>
      </c>
      <c r="I84" s="57">
        <v>0</v>
      </c>
      <c r="J84" s="29">
        <v>15000</v>
      </c>
      <c r="K84" s="85">
        <v>15000</v>
      </c>
      <c r="L84" s="85">
        <v>15000</v>
      </c>
      <c r="M84" s="24"/>
      <c r="N84" s="90">
        <v>4500</v>
      </c>
      <c r="O84" s="90"/>
      <c r="P84" s="20">
        <v>19500</v>
      </c>
      <c r="Q84" s="20">
        <v>19500</v>
      </c>
      <c r="R84" s="155">
        <f>+Q84-P84</f>
        <v>0</v>
      </c>
      <c r="S84" s="20">
        <v>19500</v>
      </c>
      <c r="T84" s="176"/>
      <c r="U84" s="20">
        <v>19500</v>
      </c>
      <c r="V84" s="39"/>
      <c r="W84" s="39"/>
      <c r="X84" s="3"/>
      <c r="Y84" s="3"/>
      <c r="Z84" s="114"/>
      <c r="AA84" s="114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ht="30" customHeight="1">
      <c r="A85" s="44"/>
      <c r="B85" s="141" t="s">
        <v>3</v>
      </c>
      <c r="C85" s="159" t="s">
        <v>94</v>
      </c>
      <c r="D85" s="39"/>
      <c r="E85" s="23">
        <v>9000</v>
      </c>
      <c r="F85" s="23">
        <v>9000</v>
      </c>
      <c r="G85" s="24"/>
      <c r="H85" s="23">
        <v>9000</v>
      </c>
      <c r="I85" s="57">
        <v>0</v>
      </c>
      <c r="J85" s="29">
        <v>9000</v>
      </c>
      <c r="K85" s="85">
        <v>9000</v>
      </c>
      <c r="L85" s="85">
        <v>9000</v>
      </c>
      <c r="M85" s="24"/>
      <c r="N85" s="90">
        <v>2700</v>
      </c>
      <c r="O85" s="90"/>
      <c r="P85" s="20">
        <v>11700</v>
      </c>
      <c r="Q85" s="20">
        <v>11700</v>
      </c>
      <c r="R85" s="155">
        <f>+Q85-P85</f>
        <v>0</v>
      </c>
      <c r="S85" s="20">
        <v>11700</v>
      </c>
      <c r="T85" s="176"/>
      <c r="U85" s="20">
        <v>11700</v>
      </c>
      <c r="V85" s="39"/>
      <c r="W85" s="39"/>
      <c r="X85" s="3"/>
      <c r="Y85" s="3"/>
      <c r="Z85" s="114"/>
      <c r="AA85" s="114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s="129" customFormat="1" ht="21.75" customHeight="1">
      <c r="A86" s="142">
        <v>4199</v>
      </c>
      <c r="B86" s="69"/>
      <c r="C86" s="121" t="s">
        <v>21</v>
      </c>
      <c r="D86" s="69"/>
      <c r="E86" s="24">
        <f>SUM(E84:E85)</f>
        <v>24000</v>
      </c>
      <c r="F86" s="24">
        <f>SUM(F84:F85)</f>
        <v>24000</v>
      </c>
      <c r="G86" s="24"/>
      <c r="H86" s="24">
        <f>SUM(H84:H85)</f>
        <v>24000</v>
      </c>
      <c r="I86" s="74">
        <f>SUM(I84:I85)</f>
        <v>0</v>
      </c>
      <c r="J86" s="71">
        <f>SUM(J84:J85)</f>
        <v>24000</v>
      </c>
      <c r="K86" s="86">
        <f>SUM(K84:K85)</f>
        <v>24000</v>
      </c>
      <c r="L86" s="86">
        <f>SUM(L84:L85)</f>
        <v>24000</v>
      </c>
      <c r="M86" s="24"/>
      <c r="N86" s="86"/>
      <c r="O86" s="86"/>
      <c r="P86" s="86">
        <f aca="true" t="shared" si="23" ref="P86:W86">+P84+P85</f>
        <v>31200</v>
      </c>
      <c r="Q86" s="86">
        <f t="shared" si="23"/>
        <v>31200</v>
      </c>
      <c r="R86" s="86">
        <f t="shared" si="23"/>
        <v>0</v>
      </c>
      <c r="S86" s="86">
        <f t="shared" si="23"/>
        <v>31200</v>
      </c>
      <c r="T86" s="86">
        <f t="shared" si="23"/>
        <v>0</v>
      </c>
      <c r="U86" s="86">
        <f>+U84+U85</f>
        <v>31200</v>
      </c>
      <c r="V86" s="86">
        <f>+V84+V85</f>
        <v>0</v>
      </c>
      <c r="W86" s="86">
        <f t="shared" si="23"/>
        <v>0</v>
      </c>
      <c r="X86" s="123"/>
      <c r="Y86" s="123"/>
      <c r="Z86" s="128"/>
      <c r="AA86" s="128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</row>
    <row r="87" spans="1:42" ht="19.5" customHeight="1">
      <c r="A87" s="51">
        <v>4200</v>
      </c>
      <c r="B87" s="39" t="s">
        <v>32</v>
      </c>
      <c r="C87" s="39"/>
      <c r="D87" s="39"/>
      <c r="E87" s="24"/>
      <c r="F87" s="24"/>
      <c r="G87" s="24"/>
      <c r="H87" s="24"/>
      <c r="I87" s="57"/>
      <c r="J87" s="29"/>
      <c r="K87" s="85"/>
      <c r="L87" s="85"/>
      <c r="M87" s="24"/>
      <c r="N87" s="24"/>
      <c r="O87" s="24"/>
      <c r="P87" s="39"/>
      <c r="Q87" s="39"/>
      <c r="R87" s="39"/>
      <c r="S87" s="39"/>
      <c r="T87" s="176"/>
      <c r="U87" s="39"/>
      <c r="V87" s="39"/>
      <c r="W87" s="39"/>
      <c r="X87" s="3"/>
      <c r="Y87" s="3"/>
      <c r="Z87" s="114"/>
      <c r="AA87" s="114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ht="19.5" customHeight="1">
      <c r="A88" s="44"/>
      <c r="B88" s="141" t="s">
        <v>1</v>
      </c>
      <c r="C88" s="39" t="s">
        <v>79</v>
      </c>
      <c r="D88" s="39"/>
      <c r="E88" s="23">
        <v>10000</v>
      </c>
      <c r="F88" s="23">
        <v>10000</v>
      </c>
      <c r="G88" s="24"/>
      <c r="H88" s="23">
        <v>10000</v>
      </c>
      <c r="I88" s="57">
        <v>0</v>
      </c>
      <c r="J88" s="29">
        <v>10000</v>
      </c>
      <c r="K88" s="85">
        <v>10000</v>
      </c>
      <c r="L88" s="85">
        <v>10000</v>
      </c>
      <c r="M88" s="24"/>
      <c r="N88" s="90">
        <v>3000</v>
      </c>
      <c r="O88" s="90"/>
      <c r="P88" s="20">
        <v>13000</v>
      </c>
      <c r="Q88" s="20">
        <v>13000</v>
      </c>
      <c r="R88" s="155">
        <f>+Q88-P88</f>
        <v>0</v>
      </c>
      <c r="S88" s="20">
        <v>13000</v>
      </c>
      <c r="T88" s="176"/>
      <c r="U88" s="20">
        <v>13000</v>
      </c>
      <c r="V88" s="39"/>
      <c r="W88" s="39"/>
      <c r="X88" s="3"/>
      <c r="Y88" s="3"/>
      <c r="Z88" s="114"/>
      <c r="AA88" s="114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ht="19.5" customHeight="1">
      <c r="A89" s="44"/>
      <c r="B89" s="141" t="s">
        <v>3</v>
      </c>
      <c r="C89" s="39" t="s">
        <v>93</v>
      </c>
      <c r="D89" s="39"/>
      <c r="E89" s="23">
        <v>5000</v>
      </c>
      <c r="F89" s="23">
        <v>5000</v>
      </c>
      <c r="G89" s="24"/>
      <c r="H89" s="23">
        <v>5000</v>
      </c>
      <c r="I89" s="57">
        <v>0</v>
      </c>
      <c r="J89" s="29">
        <v>5000</v>
      </c>
      <c r="K89" s="85">
        <v>5000</v>
      </c>
      <c r="L89" s="85">
        <v>5000</v>
      </c>
      <c r="M89" s="24"/>
      <c r="N89" s="90">
        <v>1500</v>
      </c>
      <c r="O89" s="90"/>
      <c r="P89" s="20">
        <v>6500</v>
      </c>
      <c r="Q89" s="20">
        <v>6500</v>
      </c>
      <c r="R89" s="155">
        <f>+Q89-P89</f>
        <v>0</v>
      </c>
      <c r="S89" s="20">
        <v>6500</v>
      </c>
      <c r="T89" s="176"/>
      <c r="U89" s="20">
        <v>6500</v>
      </c>
      <c r="V89" s="39"/>
      <c r="W89" s="39"/>
      <c r="X89" s="3"/>
      <c r="Y89" s="3"/>
      <c r="Z89" s="114"/>
      <c r="AA89" s="114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s="129" customFormat="1" ht="19.5" customHeight="1">
      <c r="A90" s="142">
        <v>4299</v>
      </c>
      <c r="B90" s="69"/>
      <c r="C90" s="121" t="s">
        <v>21</v>
      </c>
      <c r="D90" s="69"/>
      <c r="E90" s="24">
        <f>SUM(E88:E89)</f>
        <v>15000</v>
      </c>
      <c r="F90" s="24">
        <f>SUM(F88:F89)</f>
        <v>15000</v>
      </c>
      <c r="G90" s="24"/>
      <c r="H90" s="24">
        <f>SUM(H88:H89)</f>
        <v>15000</v>
      </c>
      <c r="I90" s="74">
        <f>SUM(I88:I89)</f>
        <v>0</v>
      </c>
      <c r="J90" s="71">
        <f>SUM(J88:J89)</f>
        <v>15000</v>
      </c>
      <c r="K90" s="86">
        <f>SUM(K88:K89)</f>
        <v>15000</v>
      </c>
      <c r="L90" s="86">
        <f>SUM(L88:L89)</f>
        <v>15000</v>
      </c>
      <c r="M90" s="24"/>
      <c r="N90" s="86"/>
      <c r="O90" s="86"/>
      <c r="P90" s="86">
        <f aca="true" t="shared" si="24" ref="P90:W90">+P88+P89</f>
        <v>19500</v>
      </c>
      <c r="Q90" s="86">
        <f t="shared" si="24"/>
        <v>19500</v>
      </c>
      <c r="R90" s="86">
        <f t="shared" si="24"/>
        <v>0</v>
      </c>
      <c r="S90" s="86">
        <f t="shared" si="24"/>
        <v>19500</v>
      </c>
      <c r="T90" s="86">
        <f t="shared" si="24"/>
        <v>0</v>
      </c>
      <c r="U90" s="86">
        <f>+U88+U89</f>
        <v>19500</v>
      </c>
      <c r="V90" s="86">
        <f>+V88+V89</f>
        <v>0</v>
      </c>
      <c r="W90" s="86">
        <f t="shared" si="24"/>
        <v>0</v>
      </c>
      <c r="X90" s="123"/>
      <c r="Y90" s="123"/>
      <c r="Z90" s="128"/>
      <c r="AA90" s="128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</row>
    <row r="91" spans="1:42" ht="19.5" customHeight="1">
      <c r="A91" s="51">
        <v>4300</v>
      </c>
      <c r="B91" s="45" t="s">
        <v>49</v>
      </c>
      <c r="C91" s="39"/>
      <c r="D91" s="39"/>
      <c r="E91" s="24"/>
      <c r="F91" s="24"/>
      <c r="G91" s="24"/>
      <c r="H91" s="24"/>
      <c r="I91" s="57"/>
      <c r="J91" s="29"/>
      <c r="K91" s="85"/>
      <c r="L91" s="85"/>
      <c r="M91" s="24"/>
      <c r="N91" s="24"/>
      <c r="O91" s="24"/>
      <c r="P91" s="39"/>
      <c r="Q91" s="39"/>
      <c r="R91" s="39"/>
      <c r="S91" s="39"/>
      <c r="T91" s="176"/>
      <c r="U91" s="39"/>
      <c r="V91" s="39"/>
      <c r="W91" s="39"/>
      <c r="X91" s="3"/>
      <c r="Y91" s="3"/>
      <c r="Z91" s="114"/>
      <c r="AA91" s="114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ht="19.5" customHeight="1">
      <c r="A92" s="44"/>
      <c r="B92" s="141" t="s">
        <v>1</v>
      </c>
      <c r="C92" s="39" t="s">
        <v>127</v>
      </c>
      <c r="D92" s="39"/>
      <c r="E92" s="23">
        <v>310000</v>
      </c>
      <c r="F92" s="23">
        <v>310000</v>
      </c>
      <c r="G92" s="23"/>
      <c r="H92" s="23">
        <v>310000</v>
      </c>
      <c r="I92" s="57"/>
      <c r="J92" s="29">
        <v>310000</v>
      </c>
      <c r="K92" s="85">
        <v>310000</v>
      </c>
      <c r="L92" s="85">
        <v>310000</v>
      </c>
      <c r="M92" s="24"/>
      <c r="N92" s="90">
        <v>0</v>
      </c>
      <c r="O92" s="90"/>
      <c r="P92" s="20">
        <v>550000</v>
      </c>
      <c r="Q92" s="20">
        <v>550000</v>
      </c>
      <c r="R92" s="155">
        <f>+Q92-P92</f>
        <v>0</v>
      </c>
      <c r="S92" s="20">
        <v>870282</v>
      </c>
      <c r="T92" s="176"/>
      <c r="U92" s="20">
        <v>870282</v>
      </c>
      <c r="V92" s="39"/>
      <c r="W92" s="39"/>
      <c r="X92" s="3"/>
      <c r="Y92" s="3"/>
      <c r="Z92" s="114"/>
      <c r="AA92" s="114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ht="19.5" customHeight="1">
      <c r="A93" s="44"/>
      <c r="B93" s="141"/>
      <c r="C93" s="121" t="s">
        <v>21</v>
      </c>
      <c r="D93" s="39"/>
      <c r="E93" s="23"/>
      <c r="F93" s="23"/>
      <c r="G93" s="23"/>
      <c r="H93" s="23"/>
      <c r="I93" s="57"/>
      <c r="J93" s="29"/>
      <c r="K93" s="85"/>
      <c r="L93" s="85"/>
      <c r="M93" s="24"/>
      <c r="N93" s="130"/>
      <c r="O93" s="130"/>
      <c r="P93" s="35">
        <f aca="true" t="shared" si="25" ref="P93:W93">P92</f>
        <v>550000</v>
      </c>
      <c r="Q93" s="35">
        <f t="shared" si="25"/>
        <v>550000</v>
      </c>
      <c r="R93" s="35">
        <f t="shared" si="25"/>
        <v>0</v>
      </c>
      <c r="S93" s="35">
        <f t="shared" si="25"/>
        <v>870282</v>
      </c>
      <c r="T93" s="67">
        <f t="shared" si="25"/>
        <v>0</v>
      </c>
      <c r="U93" s="35">
        <f>U92</f>
        <v>870282</v>
      </c>
      <c r="V93" s="35">
        <f>V92</f>
        <v>0</v>
      </c>
      <c r="W93" s="35">
        <f t="shared" si="25"/>
        <v>0</v>
      </c>
      <c r="X93" s="3"/>
      <c r="Y93" s="3"/>
      <c r="Z93" s="114"/>
      <c r="AA93" s="114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ht="19.5" customHeight="1">
      <c r="A94" s="55">
        <v>4999</v>
      </c>
      <c r="B94" s="69"/>
      <c r="C94" s="121" t="s">
        <v>27</v>
      </c>
      <c r="D94" s="39"/>
      <c r="E94" s="23">
        <f>SUM(E92+E90+E86)</f>
        <v>349000</v>
      </c>
      <c r="F94" s="23">
        <f>SUM(F92+F90+F86)</f>
        <v>349000</v>
      </c>
      <c r="G94" s="23"/>
      <c r="H94" s="24">
        <f>SUM(H92+H90+H86)</f>
        <v>349000</v>
      </c>
      <c r="I94" s="74">
        <f>SUM(I92+I90+I86)</f>
        <v>0</v>
      </c>
      <c r="J94" s="71">
        <f>SUM(J92+J90+J86)</f>
        <v>349000</v>
      </c>
      <c r="K94" s="86">
        <f>SUM(K92+K90+K86)</f>
        <v>349000</v>
      </c>
      <c r="L94" s="86">
        <f>SUM(L92+L90+L86)</f>
        <v>349000</v>
      </c>
      <c r="M94" s="24"/>
      <c r="N94" s="86"/>
      <c r="O94" s="86"/>
      <c r="P94" s="86">
        <f aca="true" t="shared" si="26" ref="P94:W94">+P93+P90+P86</f>
        <v>600700</v>
      </c>
      <c r="Q94" s="86">
        <f t="shared" si="26"/>
        <v>600700</v>
      </c>
      <c r="R94" s="86">
        <f t="shared" si="26"/>
        <v>0</v>
      </c>
      <c r="S94" s="86">
        <f t="shared" si="26"/>
        <v>920982</v>
      </c>
      <c r="T94" s="86">
        <f t="shared" si="26"/>
        <v>0</v>
      </c>
      <c r="U94" s="86">
        <f>+U93+U90+U86</f>
        <v>920982</v>
      </c>
      <c r="V94" s="86">
        <f>+V93+V90+V86</f>
        <v>0</v>
      </c>
      <c r="W94" s="86">
        <f t="shared" si="26"/>
        <v>0</v>
      </c>
      <c r="X94" s="3"/>
      <c r="Y94" s="3"/>
      <c r="Z94" s="114"/>
      <c r="AA94" s="114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ht="15" customHeight="1">
      <c r="A95" s="202" t="s">
        <v>126</v>
      </c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3"/>
      <c r="Y95" s="3"/>
      <c r="Z95" s="114"/>
      <c r="AA95" s="114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4:42" ht="15" customHeight="1">
      <c r="X96" s="3"/>
      <c r="Y96" s="3"/>
      <c r="Z96" s="114"/>
      <c r="AA96" s="114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ht="16.5" customHeight="1">
      <c r="A97" s="187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2"/>
      <c r="W97" s="2" t="s">
        <v>122</v>
      </c>
      <c r="X97" s="3"/>
      <c r="Y97" s="3"/>
      <c r="Z97" s="114"/>
      <c r="AA97" s="114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ht="16.5" customHeight="1">
      <c r="A98" s="1"/>
      <c r="B98" s="3"/>
      <c r="C98" s="5"/>
      <c r="D98" s="3"/>
      <c r="E98" s="25"/>
      <c r="F98" s="25"/>
      <c r="G98" s="25"/>
      <c r="H98" s="25"/>
      <c r="I98" s="2"/>
      <c r="J98" s="2"/>
      <c r="K98" s="2"/>
      <c r="L98" s="2"/>
      <c r="N98" s="26"/>
      <c r="O98" s="26"/>
      <c r="S98" s="99"/>
      <c r="T98" s="171"/>
      <c r="U98" s="171"/>
      <c r="V98" s="99"/>
      <c r="W98" s="99" t="s">
        <v>123</v>
      </c>
      <c r="X98" s="3"/>
      <c r="Y98" s="3"/>
      <c r="Z98" s="114"/>
      <c r="AA98" s="114"/>
      <c r="AB98" s="3"/>
      <c r="AC98" s="3"/>
      <c r="AD98" s="198"/>
      <c r="AE98" s="199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ht="16.5" customHeight="1">
      <c r="A99" s="1"/>
      <c r="B99" s="3"/>
      <c r="C99" s="5"/>
      <c r="D99" s="3"/>
      <c r="E99" s="25"/>
      <c r="F99" s="25"/>
      <c r="G99" s="25"/>
      <c r="H99" s="25"/>
      <c r="I99" s="2"/>
      <c r="J99" s="2"/>
      <c r="K99" s="2"/>
      <c r="L99" s="2"/>
      <c r="N99" s="26"/>
      <c r="O99" s="26"/>
      <c r="S99" s="99"/>
      <c r="T99" s="171"/>
      <c r="U99" s="171"/>
      <c r="V99" s="99"/>
      <c r="W99" s="99" t="s">
        <v>51</v>
      </c>
      <c r="X99" s="3"/>
      <c r="Y99" s="3"/>
      <c r="Z99" s="114"/>
      <c r="AA99" s="114"/>
      <c r="AB99" s="3"/>
      <c r="AC99" s="3"/>
      <c r="AD99" s="195"/>
      <c r="AE99" s="195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ht="16.5" customHeight="1">
      <c r="A100" s="1"/>
      <c r="B100" s="3"/>
      <c r="C100" s="5"/>
      <c r="D100" s="3"/>
      <c r="E100" s="25"/>
      <c r="F100" s="25"/>
      <c r="G100" s="25"/>
      <c r="H100" s="25"/>
      <c r="I100" s="2"/>
      <c r="J100" s="2"/>
      <c r="K100" s="2"/>
      <c r="L100" s="2"/>
      <c r="N100" s="26"/>
      <c r="O100" s="26"/>
      <c r="S100" s="99"/>
      <c r="T100" s="171"/>
      <c r="U100" s="171"/>
      <c r="V100" s="99"/>
      <c r="W100" s="99"/>
      <c r="X100" s="3"/>
      <c r="Y100" s="3"/>
      <c r="Z100" s="114"/>
      <c r="AA100" s="114"/>
      <c r="AB100" s="3"/>
      <c r="AC100" s="3"/>
      <c r="AD100" s="195"/>
      <c r="AE100" s="195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ht="16.5" customHeight="1">
      <c r="A101" s="1"/>
      <c r="B101" s="3"/>
      <c r="C101" s="5"/>
      <c r="D101" s="3"/>
      <c r="E101" s="25"/>
      <c r="F101" s="25"/>
      <c r="G101" s="25"/>
      <c r="H101" s="25"/>
      <c r="I101" s="2"/>
      <c r="J101" s="2"/>
      <c r="K101" s="2"/>
      <c r="L101" s="2"/>
      <c r="N101" s="26"/>
      <c r="O101" s="26"/>
      <c r="S101" s="99"/>
      <c r="T101" s="171"/>
      <c r="U101" s="171"/>
      <c r="V101" s="99"/>
      <c r="W101" s="99"/>
      <c r="X101" s="3"/>
      <c r="Y101" s="3"/>
      <c r="Z101" s="114"/>
      <c r="AA101" s="114"/>
      <c r="AB101" s="3"/>
      <c r="AC101" s="3"/>
      <c r="AD101" s="195"/>
      <c r="AE101" s="195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ht="18.75" customHeight="1">
      <c r="A102" s="1"/>
      <c r="B102" s="3"/>
      <c r="D102" s="3"/>
      <c r="E102" s="25"/>
      <c r="F102" s="25"/>
      <c r="G102" s="25"/>
      <c r="H102" s="25"/>
      <c r="I102" s="26"/>
      <c r="J102" s="3"/>
      <c r="K102" s="3"/>
      <c r="L102" s="3"/>
      <c r="M102" s="26"/>
      <c r="N102" s="26"/>
      <c r="O102" s="26"/>
      <c r="S102" s="93" t="s">
        <v>76</v>
      </c>
      <c r="T102" s="170" t="s">
        <v>66</v>
      </c>
      <c r="U102" s="170" t="s">
        <v>66</v>
      </c>
      <c r="V102" s="43" t="s">
        <v>76</v>
      </c>
      <c r="W102" s="43" t="s">
        <v>66</v>
      </c>
      <c r="X102" s="3"/>
      <c r="Y102" s="3"/>
      <c r="Z102" s="114"/>
      <c r="AA102" s="114"/>
      <c r="AB102" s="3"/>
      <c r="AC102" s="3"/>
      <c r="AD102" s="186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ht="18.75" customHeight="1">
      <c r="A103" s="1"/>
      <c r="B103" s="3"/>
      <c r="D103" s="3"/>
      <c r="E103" s="25"/>
      <c r="F103" s="25"/>
      <c r="G103" s="25"/>
      <c r="H103" s="25"/>
      <c r="I103" s="26"/>
      <c r="J103" s="3"/>
      <c r="K103" s="3"/>
      <c r="L103" s="3"/>
      <c r="M103" s="26"/>
      <c r="N103" s="26"/>
      <c r="O103" s="26"/>
      <c r="S103" s="131">
        <v>2010</v>
      </c>
      <c r="T103" s="184">
        <v>2011</v>
      </c>
      <c r="U103" s="191">
        <v>2011</v>
      </c>
      <c r="V103" s="131">
        <v>2012</v>
      </c>
      <c r="W103" s="131">
        <v>2013</v>
      </c>
      <c r="X103" s="3"/>
      <c r="Y103" s="3"/>
      <c r="Z103" s="114"/>
      <c r="AA103" s="114"/>
      <c r="AB103" s="3"/>
      <c r="AC103" s="3"/>
      <c r="AD103" s="186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ht="19.5" customHeight="1">
      <c r="A104" s="44"/>
      <c r="B104" s="39"/>
      <c r="C104" s="45"/>
      <c r="D104" s="39"/>
      <c r="E104" s="28" t="s">
        <v>24</v>
      </c>
      <c r="F104" s="28" t="s">
        <v>24</v>
      </c>
      <c r="G104" s="28" t="s">
        <v>44</v>
      </c>
      <c r="H104" s="28" t="s">
        <v>44</v>
      </c>
      <c r="I104" s="83" t="s">
        <v>50</v>
      </c>
      <c r="J104" s="28" t="s">
        <v>50</v>
      </c>
      <c r="K104" s="47" t="s">
        <v>53</v>
      </c>
      <c r="L104" s="47" t="s">
        <v>53</v>
      </c>
      <c r="M104" s="103">
        <v>2007</v>
      </c>
      <c r="N104" s="103"/>
      <c r="O104" s="103"/>
      <c r="P104" s="103">
        <v>2009</v>
      </c>
      <c r="Q104" s="103">
        <v>2009</v>
      </c>
      <c r="R104" s="193">
        <v>2009</v>
      </c>
      <c r="S104" s="39"/>
      <c r="T104" s="39"/>
      <c r="U104" s="39"/>
      <c r="V104" s="39"/>
      <c r="W104" s="39"/>
      <c r="X104" s="3"/>
      <c r="Y104" s="3"/>
      <c r="Z104" s="114"/>
      <c r="AA104" s="114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ht="19.5" customHeight="1">
      <c r="A105" s="44">
        <v>50</v>
      </c>
      <c r="B105" s="45" t="s">
        <v>33</v>
      </c>
      <c r="C105" s="45"/>
      <c r="D105" s="39"/>
      <c r="E105" s="28"/>
      <c r="F105" s="28"/>
      <c r="G105" s="28"/>
      <c r="H105" s="28"/>
      <c r="I105" s="83"/>
      <c r="J105" s="28"/>
      <c r="K105" s="28"/>
      <c r="L105" s="28"/>
      <c r="M105" s="71"/>
      <c r="N105" s="24"/>
      <c r="O105" s="24"/>
      <c r="P105" s="39"/>
      <c r="Q105" s="39"/>
      <c r="R105" s="39"/>
      <c r="S105" s="39"/>
      <c r="T105" s="176"/>
      <c r="U105" s="176"/>
      <c r="V105" s="39"/>
      <c r="W105" s="39"/>
      <c r="X105" s="3"/>
      <c r="Y105" s="3"/>
      <c r="Z105" s="114"/>
      <c r="AA105" s="114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ht="19.5" customHeight="1">
      <c r="A106" s="44">
        <v>5100</v>
      </c>
      <c r="B106" s="45" t="s">
        <v>34</v>
      </c>
      <c r="C106" s="39"/>
      <c r="D106" s="39"/>
      <c r="E106" s="28"/>
      <c r="F106" s="28"/>
      <c r="G106" s="28"/>
      <c r="H106" s="28"/>
      <c r="I106" s="83"/>
      <c r="J106" s="28"/>
      <c r="K106" s="28"/>
      <c r="L106" s="28"/>
      <c r="M106" s="71"/>
      <c r="N106" s="24"/>
      <c r="O106" s="24"/>
      <c r="P106" s="39"/>
      <c r="Q106" s="39"/>
      <c r="R106" s="39"/>
      <c r="S106" s="39"/>
      <c r="T106" s="176"/>
      <c r="U106" s="176"/>
      <c r="V106" s="39"/>
      <c r="W106" s="39"/>
      <c r="X106" s="3"/>
      <c r="Y106" s="3"/>
      <c r="Z106" s="114"/>
      <c r="AA106" s="114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ht="18" customHeight="1">
      <c r="A107" s="44"/>
      <c r="B107" s="45" t="s">
        <v>1</v>
      </c>
      <c r="C107" s="39" t="s">
        <v>102</v>
      </c>
      <c r="D107" s="39"/>
      <c r="E107" s="23">
        <v>9000</v>
      </c>
      <c r="F107" s="23">
        <v>9000</v>
      </c>
      <c r="G107" s="23"/>
      <c r="H107" s="23">
        <v>9000</v>
      </c>
      <c r="I107" s="57">
        <v>0</v>
      </c>
      <c r="J107" s="23">
        <v>9000</v>
      </c>
      <c r="K107" s="23">
        <v>9000</v>
      </c>
      <c r="L107" s="23">
        <v>9000</v>
      </c>
      <c r="M107" s="71"/>
      <c r="N107" s="90">
        <v>0</v>
      </c>
      <c r="O107" s="90"/>
      <c r="P107" s="20">
        <v>9000</v>
      </c>
      <c r="Q107" s="20">
        <v>9000</v>
      </c>
      <c r="R107" s="155">
        <f>+Q107-P107</f>
        <v>0</v>
      </c>
      <c r="S107" s="20">
        <v>9000</v>
      </c>
      <c r="T107" s="176"/>
      <c r="U107" s="20">
        <v>9000</v>
      </c>
      <c r="V107" s="39"/>
      <c r="W107" s="39"/>
      <c r="X107" s="3"/>
      <c r="Y107" s="3"/>
      <c r="Z107" s="114"/>
      <c r="AA107" s="114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ht="18" customHeight="1">
      <c r="A108" s="44"/>
      <c r="B108" s="45" t="s">
        <v>3</v>
      </c>
      <c r="C108" s="39" t="s">
        <v>55</v>
      </c>
      <c r="D108" s="39"/>
      <c r="E108" s="23">
        <v>9000</v>
      </c>
      <c r="F108" s="23">
        <v>9000</v>
      </c>
      <c r="G108" s="23"/>
      <c r="H108" s="23">
        <v>9000</v>
      </c>
      <c r="I108" s="57">
        <v>0</v>
      </c>
      <c r="J108" s="23">
        <v>9000</v>
      </c>
      <c r="K108" s="23">
        <v>9000</v>
      </c>
      <c r="L108" s="23">
        <v>9000</v>
      </c>
      <c r="M108" s="71"/>
      <c r="N108" s="90">
        <v>0</v>
      </c>
      <c r="O108" s="90"/>
      <c r="P108" s="20">
        <v>9000</v>
      </c>
      <c r="Q108" s="20">
        <v>9000</v>
      </c>
      <c r="R108" s="155">
        <f>+Q108-P108</f>
        <v>0</v>
      </c>
      <c r="S108" s="20">
        <v>9000</v>
      </c>
      <c r="T108" s="176"/>
      <c r="U108" s="20">
        <v>9000</v>
      </c>
      <c r="V108" s="39"/>
      <c r="W108" s="39"/>
      <c r="X108" s="3"/>
      <c r="Y108" s="3"/>
      <c r="Z108" s="114"/>
      <c r="AA108" s="114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ht="18" customHeight="1">
      <c r="A109" s="44"/>
      <c r="B109" s="45" t="s">
        <v>5</v>
      </c>
      <c r="C109" s="39" t="s">
        <v>90</v>
      </c>
      <c r="D109" s="39"/>
      <c r="E109" s="23">
        <v>15000</v>
      </c>
      <c r="F109" s="23">
        <v>15000</v>
      </c>
      <c r="G109" s="23"/>
      <c r="H109" s="23">
        <v>15000</v>
      </c>
      <c r="I109" s="57">
        <v>0</v>
      </c>
      <c r="J109" s="23">
        <v>15000</v>
      </c>
      <c r="K109" s="23">
        <v>15000</v>
      </c>
      <c r="L109" s="23">
        <v>15000</v>
      </c>
      <c r="M109" s="71"/>
      <c r="N109" s="90">
        <v>4500</v>
      </c>
      <c r="O109" s="90"/>
      <c r="P109" s="20">
        <v>19500</v>
      </c>
      <c r="Q109" s="20">
        <v>19500</v>
      </c>
      <c r="R109" s="155">
        <f>+Q109-P109</f>
        <v>0</v>
      </c>
      <c r="S109" s="20">
        <v>19500</v>
      </c>
      <c r="T109" s="176"/>
      <c r="U109" s="20">
        <v>19500</v>
      </c>
      <c r="V109" s="39"/>
      <c r="W109" s="39"/>
      <c r="X109" s="3"/>
      <c r="Y109" s="3"/>
      <c r="Z109" s="114"/>
      <c r="AA109" s="114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ht="18" customHeight="1">
      <c r="A110" s="44"/>
      <c r="B110" s="45" t="s">
        <v>6</v>
      </c>
      <c r="C110" s="39" t="s">
        <v>78</v>
      </c>
      <c r="D110" s="39"/>
      <c r="E110" s="23">
        <v>9000</v>
      </c>
      <c r="F110" s="23">
        <v>9000</v>
      </c>
      <c r="G110" s="23"/>
      <c r="H110" s="23">
        <v>9000</v>
      </c>
      <c r="I110" s="57">
        <v>0</v>
      </c>
      <c r="J110" s="23">
        <v>9000</v>
      </c>
      <c r="K110" s="23">
        <v>9000</v>
      </c>
      <c r="L110" s="23">
        <v>9000</v>
      </c>
      <c r="M110" s="71"/>
      <c r="N110" s="90">
        <v>0</v>
      </c>
      <c r="O110" s="90"/>
      <c r="P110" s="20">
        <v>9000</v>
      </c>
      <c r="Q110" s="20">
        <v>9000</v>
      </c>
      <c r="R110" s="155">
        <f>+Q110-P110</f>
        <v>0</v>
      </c>
      <c r="S110" s="20">
        <v>9000</v>
      </c>
      <c r="T110" s="176"/>
      <c r="U110" s="20">
        <v>9000</v>
      </c>
      <c r="V110" s="39"/>
      <c r="W110" s="39"/>
      <c r="X110" s="3"/>
      <c r="Y110" s="3"/>
      <c r="Z110" s="114"/>
      <c r="AA110" s="114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ht="18" customHeight="1">
      <c r="A111" s="44"/>
      <c r="B111" s="45" t="s">
        <v>8</v>
      </c>
      <c r="C111" s="39" t="s">
        <v>119</v>
      </c>
      <c r="D111" s="39"/>
      <c r="E111" s="23"/>
      <c r="F111" s="23"/>
      <c r="G111" s="23"/>
      <c r="H111" s="23"/>
      <c r="I111" s="57"/>
      <c r="J111" s="23"/>
      <c r="K111" s="23"/>
      <c r="L111" s="23"/>
      <c r="M111" s="71"/>
      <c r="N111" s="90">
        <v>4250</v>
      </c>
      <c r="O111" s="90"/>
      <c r="P111" s="20">
        <v>16250</v>
      </c>
      <c r="Q111" s="20">
        <v>16250</v>
      </c>
      <c r="R111" s="155">
        <f>+Q111-P111</f>
        <v>0</v>
      </c>
      <c r="S111" s="20">
        <v>16250</v>
      </c>
      <c r="T111" s="176"/>
      <c r="U111" s="20">
        <v>16250</v>
      </c>
      <c r="V111" s="39"/>
      <c r="W111" s="39"/>
      <c r="X111" s="3"/>
      <c r="Y111" s="3"/>
      <c r="Z111" s="114"/>
      <c r="AA111" s="114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s="129" customFormat="1" ht="19.5" customHeight="1">
      <c r="A112" s="55">
        <v>5199</v>
      </c>
      <c r="B112" s="121"/>
      <c r="C112" s="69" t="s">
        <v>21</v>
      </c>
      <c r="D112" s="69"/>
      <c r="E112" s="24">
        <f>SUM(E107:E111)</f>
        <v>42000</v>
      </c>
      <c r="F112" s="24">
        <f>SUM(F107:F111)</f>
        <v>42000</v>
      </c>
      <c r="G112" s="24"/>
      <c r="H112" s="24">
        <f>SUM(H107:H111)</f>
        <v>42000</v>
      </c>
      <c r="I112" s="74">
        <f>SUM(I107:I111)</f>
        <v>0</v>
      </c>
      <c r="J112" s="24">
        <f>SUM(J107:J111)</f>
        <v>42000</v>
      </c>
      <c r="K112" s="24">
        <f>SUM(K107:K111)</f>
        <v>42000</v>
      </c>
      <c r="L112" s="24">
        <f>SUM(L107:L111)</f>
        <v>42000</v>
      </c>
      <c r="M112" s="71"/>
      <c r="N112" s="24"/>
      <c r="O112" s="24"/>
      <c r="P112" s="24">
        <f aca="true" t="shared" si="27" ref="P112:W112">SUM(P107:P111)</f>
        <v>62750</v>
      </c>
      <c r="Q112" s="24">
        <f t="shared" si="27"/>
        <v>62750</v>
      </c>
      <c r="R112" s="24">
        <f t="shared" si="27"/>
        <v>0</v>
      </c>
      <c r="S112" s="24">
        <f t="shared" si="27"/>
        <v>62750</v>
      </c>
      <c r="T112" s="86">
        <f t="shared" si="27"/>
        <v>0</v>
      </c>
      <c r="U112" s="24">
        <f>SUM(U107:U111)</f>
        <v>62750</v>
      </c>
      <c r="V112" s="24">
        <f>SUM(V107:V111)</f>
        <v>0</v>
      </c>
      <c r="W112" s="24">
        <f t="shared" si="27"/>
        <v>0</v>
      </c>
      <c r="X112" s="123"/>
      <c r="Y112" s="123"/>
      <c r="Z112" s="128"/>
      <c r="AA112" s="128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</row>
    <row r="113" spans="1:42" ht="19.5" customHeight="1">
      <c r="A113" s="44">
        <v>5200</v>
      </c>
      <c r="B113" s="39" t="s">
        <v>35</v>
      </c>
      <c r="C113" s="39"/>
      <c r="D113" s="39"/>
      <c r="E113" s="23"/>
      <c r="F113" s="23"/>
      <c r="G113" s="23"/>
      <c r="H113" s="23"/>
      <c r="I113" s="57"/>
      <c r="J113" s="23"/>
      <c r="K113" s="23"/>
      <c r="L113" s="23"/>
      <c r="M113" s="71"/>
      <c r="N113" s="24"/>
      <c r="O113" s="24"/>
      <c r="P113" s="24"/>
      <c r="Q113" s="24"/>
      <c r="R113" s="24"/>
      <c r="S113" s="39"/>
      <c r="T113" s="176"/>
      <c r="U113" s="176"/>
      <c r="V113" s="39"/>
      <c r="W113" s="39"/>
      <c r="X113" s="3"/>
      <c r="Y113" s="3"/>
      <c r="Z113" s="114"/>
      <c r="AA113" s="114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ht="19.5" customHeight="1">
      <c r="A114" s="44"/>
      <c r="B114" s="45" t="s">
        <v>1</v>
      </c>
      <c r="C114" s="39" t="s">
        <v>89</v>
      </c>
      <c r="D114" s="39"/>
      <c r="E114" s="23"/>
      <c r="F114" s="23"/>
      <c r="G114" s="23"/>
      <c r="H114" s="23"/>
      <c r="I114" s="57"/>
      <c r="J114" s="23"/>
      <c r="K114" s="23"/>
      <c r="L114" s="23"/>
      <c r="M114" s="71"/>
      <c r="N114" s="90"/>
      <c r="O114" s="90"/>
      <c r="P114" s="20">
        <v>20000</v>
      </c>
      <c r="Q114" s="20">
        <v>20000</v>
      </c>
      <c r="R114" s="155">
        <f>+Q114-P114</f>
        <v>0</v>
      </c>
      <c r="S114" s="20">
        <v>20000</v>
      </c>
      <c r="T114" s="176"/>
      <c r="U114" s="20">
        <v>17000</v>
      </c>
      <c r="V114" s="39"/>
      <c r="W114" s="39"/>
      <c r="X114" s="3"/>
      <c r="Y114" s="3"/>
      <c r="Z114" s="114"/>
      <c r="AA114" s="114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s="129" customFormat="1" ht="19.5" customHeight="1">
      <c r="A115" s="55">
        <v>5299</v>
      </c>
      <c r="B115" s="69"/>
      <c r="C115" s="121" t="s">
        <v>21</v>
      </c>
      <c r="D115" s="69"/>
      <c r="E115" s="24" t="e">
        <f>SUM(#REF!)</f>
        <v>#REF!</v>
      </c>
      <c r="F115" s="24" t="e">
        <f>SUM(#REF!)</f>
        <v>#REF!</v>
      </c>
      <c r="G115" s="24"/>
      <c r="H115" s="24" t="e">
        <f>SUM(#REF!)</f>
        <v>#REF!</v>
      </c>
      <c r="I115" s="74">
        <v>0</v>
      </c>
      <c r="J115" s="24" t="e">
        <f>SUM(#REF!)</f>
        <v>#REF!</v>
      </c>
      <c r="K115" s="24" t="e">
        <f>SUM(#REF!)</f>
        <v>#REF!</v>
      </c>
      <c r="L115" s="24" t="e">
        <f>SUM(#REF!)</f>
        <v>#REF!</v>
      </c>
      <c r="M115" s="71"/>
      <c r="N115" s="24"/>
      <c r="O115" s="24"/>
      <c r="P115" s="24">
        <f aca="true" t="shared" si="28" ref="P115:W115">P114</f>
        <v>20000</v>
      </c>
      <c r="Q115" s="24">
        <f t="shared" si="28"/>
        <v>20000</v>
      </c>
      <c r="R115" s="24">
        <f t="shared" si="28"/>
        <v>0</v>
      </c>
      <c r="S115" s="24">
        <f t="shared" si="28"/>
        <v>20000</v>
      </c>
      <c r="T115" s="86">
        <f t="shared" si="28"/>
        <v>0</v>
      </c>
      <c r="U115" s="24">
        <f>U114</f>
        <v>17000</v>
      </c>
      <c r="V115" s="24">
        <f>V114</f>
        <v>0</v>
      </c>
      <c r="W115" s="24">
        <f t="shared" si="28"/>
        <v>0</v>
      </c>
      <c r="X115" s="123"/>
      <c r="Y115" s="123"/>
      <c r="Z115" s="128"/>
      <c r="AA115" s="128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</row>
    <row r="116" spans="1:42" ht="19.5" customHeight="1">
      <c r="A116" s="44">
        <v>5300</v>
      </c>
      <c r="B116" s="45" t="s">
        <v>36</v>
      </c>
      <c r="C116" s="39"/>
      <c r="D116" s="39"/>
      <c r="E116" s="23"/>
      <c r="F116" s="23"/>
      <c r="G116" s="23"/>
      <c r="H116" s="23"/>
      <c r="I116" s="57"/>
      <c r="J116" s="23"/>
      <c r="K116" s="23"/>
      <c r="L116" s="23"/>
      <c r="M116" s="71"/>
      <c r="N116" s="24"/>
      <c r="O116" s="24"/>
      <c r="P116" s="24"/>
      <c r="Q116" s="24"/>
      <c r="R116" s="24"/>
      <c r="S116" s="39"/>
      <c r="T116" s="176"/>
      <c r="U116" s="39"/>
      <c r="V116" s="39"/>
      <c r="W116" s="39"/>
      <c r="X116" s="3"/>
      <c r="Y116" s="3"/>
      <c r="Z116" s="114"/>
      <c r="AA116" s="114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ht="18" customHeight="1">
      <c r="A117" s="44"/>
      <c r="B117" s="45" t="s">
        <v>1</v>
      </c>
      <c r="C117" s="39" t="s">
        <v>20</v>
      </c>
      <c r="D117" s="39"/>
      <c r="E117" s="23">
        <v>40000</v>
      </c>
      <c r="F117" s="23">
        <v>40000</v>
      </c>
      <c r="G117" s="23"/>
      <c r="H117" s="23">
        <v>40000</v>
      </c>
      <c r="I117" s="57">
        <v>0</v>
      </c>
      <c r="J117" s="29">
        <v>40000</v>
      </c>
      <c r="K117" s="85">
        <v>40000</v>
      </c>
      <c r="L117" s="85">
        <v>40000</v>
      </c>
      <c r="M117" s="71"/>
      <c r="N117" s="94">
        <v>25000</v>
      </c>
      <c r="O117" s="94"/>
      <c r="P117" s="20">
        <v>65000</v>
      </c>
      <c r="Q117" s="20">
        <v>65000</v>
      </c>
      <c r="R117" s="155">
        <f>+Q117-P117</f>
        <v>0</v>
      </c>
      <c r="S117" s="20">
        <v>65000</v>
      </c>
      <c r="T117" s="176"/>
      <c r="U117" s="20">
        <v>65000</v>
      </c>
      <c r="V117" s="39"/>
      <c r="W117" s="39"/>
      <c r="X117" s="3"/>
      <c r="Y117" s="3"/>
      <c r="Z117" s="114"/>
      <c r="AA117" s="114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ht="18" customHeight="1">
      <c r="A118" s="44"/>
      <c r="B118" s="45" t="s">
        <v>3</v>
      </c>
      <c r="C118" s="39" t="s">
        <v>37</v>
      </c>
      <c r="D118" s="69"/>
      <c r="E118" s="24">
        <v>15000</v>
      </c>
      <c r="F118" s="24">
        <v>15000</v>
      </c>
      <c r="G118" s="24"/>
      <c r="H118" s="24">
        <v>15000</v>
      </c>
      <c r="I118" s="74">
        <v>0</v>
      </c>
      <c r="J118" s="71">
        <v>15000</v>
      </c>
      <c r="K118" s="86">
        <v>15000</v>
      </c>
      <c r="L118" s="86">
        <v>15000</v>
      </c>
      <c r="M118" s="71"/>
      <c r="N118" s="35">
        <v>4500</v>
      </c>
      <c r="O118" s="35"/>
      <c r="P118" s="20">
        <v>15000</v>
      </c>
      <c r="Q118" s="20">
        <v>7500</v>
      </c>
      <c r="R118" s="155">
        <f>+Q118-P118</f>
        <v>-7500</v>
      </c>
      <c r="S118" s="20">
        <v>15000</v>
      </c>
      <c r="T118" s="176"/>
      <c r="U118" s="20">
        <v>15000</v>
      </c>
      <c r="V118" s="39"/>
      <c r="W118" s="39"/>
      <c r="X118" s="3"/>
      <c r="Y118" s="3"/>
      <c r="Z118" s="114"/>
      <c r="AA118" s="114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ht="18" customHeight="1">
      <c r="A119" s="44"/>
      <c r="B119" s="45" t="s">
        <v>5</v>
      </c>
      <c r="C119" s="39" t="s">
        <v>38</v>
      </c>
      <c r="D119" s="39"/>
      <c r="E119" s="23">
        <v>5000</v>
      </c>
      <c r="F119" s="23">
        <v>5000</v>
      </c>
      <c r="G119" s="23"/>
      <c r="H119" s="23">
        <v>5000</v>
      </c>
      <c r="I119" s="57">
        <v>0</v>
      </c>
      <c r="J119" s="29">
        <v>5000</v>
      </c>
      <c r="K119" s="85">
        <v>5000</v>
      </c>
      <c r="L119" s="85">
        <v>5000</v>
      </c>
      <c r="M119" s="71"/>
      <c r="N119" s="94">
        <v>0</v>
      </c>
      <c r="O119" s="94"/>
      <c r="P119" s="20">
        <v>5000</v>
      </c>
      <c r="Q119" s="20">
        <v>5000</v>
      </c>
      <c r="R119" s="155">
        <f>+Q119-P119</f>
        <v>0</v>
      </c>
      <c r="S119" s="20">
        <v>5000</v>
      </c>
      <c r="T119" s="176"/>
      <c r="U119" s="20">
        <v>5000</v>
      </c>
      <c r="V119" s="39"/>
      <c r="W119" s="39"/>
      <c r="X119" s="3"/>
      <c r="Y119" s="3"/>
      <c r="Z119" s="114"/>
      <c r="AA119" s="114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ht="18" customHeight="1">
      <c r="A120" s="44"/>
      <c r="B120" s="45" t="s">
        <v>8</v>
      </c>
      <c r="C120" s="39" t="s">
        <v>92</v>
      </c>
      <c r="D120" s="39"/>
      <c r="E120" s="23">
        <v>38000</v>
      </c>
      <c r="F120" s="23">
        <v>38000</v>
      </c>
      <c r="G120" s="23"/>
      <c r="H120" s="23">
        <v>38000</v>
      </c>
      <c r="I120" s="57">
        <v>0</v>
      </c>
      <c r="J120" s="29">
        <v>38000</v>
      </c>
      <c r="K120" s="85">
        <v>38000</v>
      </c>
      <c r="L120" s="85">
        <v>38000</v>
      </c>
      <c r="M120" s="71"/>
      <c r="N120" s="94">
        <v>-17863</v>
      </c>
      <c r="O120" s="94"/>
      <c r="P120" s="20">
        <v>20137</v>
      </c>
      <c r="Q120" s="20">
        <v>10137</v>
      </c>
      <c r="R120" s="155">
        <f>+Q120-P120</f>
        <v>-10000</v>
      </c>
      <c r="S120" s="20">
        <v>20137</v>
      </c>
      <c r="T120" s="176"/>
      <c r="U120" s="20">
        <v>20137</v>
      </c>
      <c r="V120" s="39"/>
      <c r="W120" s="39"/>
      <c r="X120" s="3"/>
      <c r="Y120" s="3"/>
      <c r="Z120" s="114"/>
      <c r="AA120" s="114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s="129" customFormat="1" ht="19.5" customHeight="1">
      <c r="A121" s="55">
        <v>5399</v>
      </c>
      <c r="B121" s="69"/>
      <c r="C121" s="121" t="s">
        <v>21</v>
      </c>
      <c r="D121" s="69"/>
      <c r="E121" s="24">
        <f>SUM(E117:E120)</f>
        <v>98000</v>
      </c>
      <c r="F121" s="24">
        <f>SUM(F117:F120)</f>
        <v>98000</v>
      </c>
      <c r="G121" s="24"/>
      <c r="H121" s="24">
        <f>SUM(H117:H120)</f>
        <v>98000</v>
      </c>
      <c r="I121" s="74">
        <f>SUM(I117:I120)</f>
        <v>0</v>
      </c>
      <c r="J121" s="71">
        <f>SUM(J117:J120)</f>
        <v>98000</v>
      </c>
      <c r="K121" s="86">
        <f>SUM(K117:K120)</f>
        <v>98000</v>
      </c>
      <c r="L121" s="86">
        <f>SUM(L117:L120)</f>
        <v>98000</v>
      </c>
      <c r="M121" s="71"/>
      <c r="N121" s="127">
        <v>11637</v>
      </c>
      <c r="O121" s="127"/>
      <c r="P121" s="24">
        <f aca="true" t="shared" si="29" ref="P121:W121">SUM(P117:P120)</f>
        <v>105137</v>
      </c>
      <c r="Q121" s="24">
        <f t="shared" si="29"/>
        <v>87637</v>
      </c>
      <c r="R121" s="24">
        <f t="shared" si="29"/>
        <v>-17500</v>
      </c>
      <c r="S121" s="24">
        <f t="shared" si="29"/>
        <v>105137</v>
      </c>
      <c r="T121" s="86">
        <f t="shared" si="29"/>
        <v>0</v>
      </c>
      <c r="U121" s="24">
        <f>SUM(U117:U120)</f>
        <v>105137</v>
      </c>
      <c r="V121" s="24">
        <f>SUM(V117:V120)</f>
        <v>0</v>
      </c>
      <c r="W121" s="24">
        <f t="shared" si="29"/>
        <v>0</v>
      </c>
      <c r="X121" s="123"/>
      <c r="Y121" s="123"/>
      <c r="Z121" s="128"/>
      <c r="AA121" s="128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</row>
    <row r="122" spans="1:42" ht="19.5" customHeight="1">
      <c r="A122" s="44">
        <v>5400</v>
      </c>
      <c r="B122" s="200" t="s">
        <v>91</v>
      </c>
      <c r="C122" s="201"/>
      <c r="D122" s="39"/>
      <c r="E122" s="23">
        <v>10000</v>
      </c>
      <c r="F122" s="23">
        <v>10000</v>
      </c>
      <c r="G122" s="23"/>
      <c r="H122" s="23">
        <v>10000</v>
      </c>
      <c r="I122" s="57"/>
      <c r="J122" s="29">
        <v>10000</v>
      </c>
      <c r="K122" s="85">
        <v>10000</v>
      </c>
      <c r="L122" s="85">
        <v>10000</v>
      </c>
      <c r="M122" s="71"/>
      <c r="N122" s="94">
        <v>3000</v>
      </c>
      <c r="O122" s="94"/>
      <c r="P122" s="20"/>
      <c r="Q122" s="20"/>
      <c r="R122" s="20"/>
      <c r="S122" s="39"/>
      <c r="T122" s="176"/>
      <c r="U122" s="176"/>
      <c r="V122" s="39"/>
      <c r="W122" s="39"/>
      <c r="X122" s="3"/>
      <c r="Y122" s="3"/>
      <c r="Z122" s="114"/>
      <c r="AA122" s="114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ht="19.5" customHeight="1">
      <c r="A123" s="44"/>
      <c r="B123" s="45" t="s">
        <v>1</v>
      </c>
      <c r="C123" s="39" t="s">
        <v>39</v>
      </c>
      <c r="D123" s="39"/>
      <c r="E123" s="23"/>
      <c r="F123" s="23"/>
      <c r="G123" s="23"/>
      <c r="H123" s="23"/>
      <c r="I123" s="57"/>
      <c r="J123" s="29"/>
      <c r="K123" s="85"/>
      <c r="L123" s="85"/>
      <c r="M123" s="71"/>
      <c r="N123" s="94"/>
      <c r="O123" s="94"/>
      <c r="P123" s="20">
        <v>13000</v>
      </c>
      <c r="Q123" s="20">
        <v>13000</v>
      </c>
      <c r="R123" s="155">
        <f>+Q123-P123</f>
        <v>0</v>
      </c>
      <c r="S123" s="20">
        <v>13000</v>
      </c>
      <c r="T123" s="176"/>
      <c r="U123" s="20">
        <v>16000</v>
      </c>
      <c r="V123" s="39"/>
      <c r="W123" s="39"/>
      <c r="X123" s="3"/>
      <c r="Y123" s="3"/>
      <c r="Z123" s="114"/>
      <c r="AA123" s="114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s="129" customFormat="1" ht="19.5" customHeight="1">
      <c r="A124" s="55">
        <v>5499</v>
      </c>
      <c r="B124" s="121"/>
      <c r="C124" s="69" t="s">
        <v>21</v>
      </c>
      <c r="D124" s="69"/>
      <c r="E124" s="24"/>
      <c r="F124" s="24"/>
      <c r="G124" s="24"/>
      <c r="H124" s="24"/>
      <c r="I124" s="74"/>
      <c r="J124" s="71"/>
      <c r="K124" s="86"/>
      <c r="L124" s="86"/>
      <c r="M124" s="71"/>
      <c r="N124" s="127"/>
      <c r="O124" s="127"/>
      <c r="P124" s="35">
        <f>P123</f>
        <v>13000</v>
      </c>
      <c r="Q124" s="35">
        <f>Q123</f>
        <v>13000</v>
      </c>
      <c r="R124" s="35">
        <f>R123</f>
        <v>0</v>
      </c>
      <c r="S124" s="35">
        <f>S123</f>
        <v>13000</v>
      </c>
      <c r="T124" s="86">
        <v>0</v>
      </c>
      <c r="U124" s="35">
        <f>U123</f>
        <v>16000</v>
      </c>
      <c r="V124" s="24">
        <v>0</v>
      </c>
      <c r="W124" s="24">
        <v>0</v>
      </c>
      <c r="X124" s="123"/>
      <c r="Y124" s="123"/>
      <c r="Z124" s="128"/>
      <c r="AA124" s="128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</row>
    <row r="125" spans="1:42" ht="19.5" customHeight="1">
      <c r="A125" s="55">
        <v>5999</v>
      </c>
      <c r="B125" s="69"/>
      <c r="C125" s="121" t="s">
        <v>27</v>
      </c>
      <c r="D125" s="39"/>
      <c r="E125" s="24" t="e">
        <f>SUM(E122+E121+E115+E112)</f>
        <v>#REF!</v>
      </c>
      <c r="F125" s="24" t="e">
        <f>SUM(F122+F121+F115+F112)</f>
        <v>#REF!</v>
      </c>
      <c r="G125" s="24"/>
      <c r="H125" s="24" t="e">
        <f>SUM(H122+H121+H115+H112)</f>
        <v>#REF!</v>
      </c>
      <c r="I125" s="74">
        <f>SUM(I122+I121+I115+I112)</f>
        <v>0</v>
      </c>
      <c r="J125" s="71" t="e">
        <f>SUM(J122+J121+J115+J112)</f>
        <v>#REF!</v>
      </c>
      <c r="K125" s="86" t="e">
        <f>SUM(K122+K121+K115+K112)</f>
        <v>#REF!</v>
      </c>
      <c r="L125" s="86" t="e">
        <f>SUM(L122+L121+L115+L112)</f>
        <v>#REF!</v>
      </c>
      <c r="M125" s="71"/>
      <c r="N125" s="24"/>
      <c r="O125" s="24"/>
      <c r="P125" s="24">
        <f>+P124+P121+P115+P112</f>
        <v>200887</v>
      </c>
      <c r="Q125" s="24">
        <f>+Q124+Q121+Q115+Q112</f>
        <v>183387</v>
      </c>
      <c r="R125" s="24">
        <f>+R124+R121+R115+R112</f>
        <v>-17500</v>
      </c>
      <c r="S125" s="24">
        <f>+S124+S121+S115+S112</f>
        <v>200887</v>
      </c>
      <c r="T125" s="86">
        <v>0</v>
      </c>
      <c r="U125" s="24">
        <f>+U124+U121+U115+U112</f>
        <v>200887</v>
      </c>
      <c r="V125" s="24">
        <v>0</v>
      </c>
      <c r="W125" s="24">
        <v>0</v>
      </c>
      <c r="X125" s="3"/>
      <c r="Y125" s="3"/>
      <c r="Z125" s="114"/>
      <c r="AA125" s="114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ht="18" customHeight="1">
      <c r="A126" s="44" t="s">
        <v>28</v>
      </c>
      <c r="B126" s="45"/>
      <c r="C126" s="39"/>
      <c r="D126" s="23"/>
      <c r="E126" s="23" t="e">
        <f>SUM(E125+E94+E81+E76+E68)</f>
        <v>#REF!</v>
      </c>
      <c r="F126" s="23" t="e">
        <f>SUM(F125+F94+F81+F76+F68)</f>
        <v>#REF!</v>
      </c>
      <c r="G126" s="23">
        <f>SUM(G125+G94+G81+G76+G68)</f>
        <v>1555932.757</v>
      </c>
      <c r="H126" s="23" t="e">
        <f>SUM(H125+H94+H81+H76+H68)</f>
        <v>#REF!</v>
      </c>
      <c r="I126" s="57">
        <f>SUM(I125+I94+I81+I76+I68)</f>
        <v>1994898.1705875</v>
      </c>
      <c r="J126" s="29" t="e">
        <f>SUM(J125+J94+J81+J76+J68)</f>
        <v>#REF!</v>
      </c>
      <c r="K126" s="85" t="e">
        <f>SUM(K125+K94+K81+K76+K68)</f>
        <v>#REF!</v>
      </c>
      <c r="L126" s="85" t="e">
        <f>SUM(L125+L94+L81+L76+L68)</f>
        <v>#REF!</v>
      </c>
      <c r="M126" s="29">
        <f>SUM(M125+M94+M81+M76+M68)</f>
        <v>2342780.0837115934</v>
      </c>
      <c r="N126" s="94"/>
      <c r="O126" s="94"/>
      <c r="P126" s="23">
        <f>+P125+P94+P81+P76+P68</f>
        <v>5742101.171133625</v>
      </c>
      <c r="Q126" s="23">
        <f>+Q125+Q94+Q81+Q76+Q68</f>
        <v>5742101.171133625</v>
      </c>
      <c r="R126" s="155">
        <f>+Q126-P126</f>
        <v>0</v>
      </c>
      <c r="S126" s="23">
        <f>+S125+S94+S81+S76+S68</f>
        <v>6323758.879690306</v>
      </c>
      <c r="T126" s="182">
        <f>+T125+T94+T81+T76+T68</f>
        <v>3337834.373674822</v>
      </c>
      <c r="U126" s="23">
        <f>+U125+U94+U81+U76+U68</f>
        <v>7172703.373674822</v>
      </c>
      <c r="V126" s="182">
        <f>+V125+V94+V81+V76+V68</f>
        <v>3437969.4048850667</v>
      </c>
      <c r="W126" s="182">
        <f>+W125+W94+W81+W76+W68</f>
        <v>3541108.4870316186</v>
      </c>
      <c r="X126" s="3"/>
      <c r="Y126" s="3"/>
      <c r="Z126" s="114"/>
      <c r="AA126" s="114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ht="15.75" customHeight="1">
      <c r="A127" s="44"/>
      <c r="B127" s="45"/>
      <c r="C127" s="39" t="s">
        <v>100</v>
      </c>
      <c r="D127" s="39"/>
      <c r="E127" s="20">
        <f aca="true" t="shared" si="30" ref="E127:M127">E24*0.13+E45*0.13</f>
        <v>197327.26</v>
      </c>
      <c r="F127" s="20">
        <f t="shared" si="30"/>
        <v>258653.0245</v>
      </c>
      <c r="G127" s="20">
        <f t="shared" si="30"/>
        <v>202271.25841</v>
      </c>
      <c r="H127" s="20">
        <f t="shared" si="30"/>
        <v>250524.2778675</v>
      </c>
      <c r="I127" s="80">
        <f t="shared" si="30"/>
        <v>259336.76217637502</v>
      </c>
      <c r="J127" s="46">
        <f t="shared" si="30"/>
        <v>260963.71217637503</v>
      </c>
      <c r="K127" s="87">
        <f t="shared" si="30"/>
        <v>283543.9395901938</v>
      </c>
      <c r="L127" s="87">
        <f t="shared" si="30"/>
        <v>296573.03351934376</v>
      </c>
      <c r="M127" s="46">
        <f t="shared" si="30"/>
        <v>304561.41088250716</v>
      </c>
      <c r="N127" s="94"/>
      <c r="O127" s="94"/>
      <c r="P127" s="20">
        <f>(P24+P45)*0.13</f>
        <v>393576.8422473713</v>
      </c>
      <c r="Q127" s="20">
        <f>(Q24+Q45)*0.13</f>
        <v>393576.8422473713</v>
      </c>
      <c r="R127" s="155">
        <f>+Q127-P127</f>
        <v>0</v>
      </c>
      <c r="S127" s="80">
        <f>(S24+S45)*0.13</f>
        <v>413255.68435973994</v>
      </c>
      <c r="T127" s="176">
        <f>(T24+T45)*0.13</f>
        <v>433918.46857772686</v>
      </c>
      <c r="U127" s="80">
        <f>(U24+U45)*0.13</f>
        <v>433918.46857772686</v>
      </c>
      <c r="V127" s="176">
        <f>(V24+V45)*0.13</f>
        <v>446936.0226350587</v>
      </c>
      <c r="W127" s="176">
        <f>(W24+W45)*0.13</f>
        <v>460344.1033141104</v>
      </c>
      <c r="X127" s="3"/>
      <c r="Y127" s="3"/>
      <c r="Z127" s="114"/>
      <c r="AA127" s="114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ht="19.5" customHeight="1">
      <c r="A128" s="55" t="s">
        <v>101</v>
      </c>
      <c r="B128" s="40"/>
      <c r="C128" s="61"/>
      <c r="D128" s="61"/>
      <c r="E128" s="21" t="e">
        <f>E126+E127+#REF!</f>
        <v>#REF!</v>
      </c>
      <c r="F128" s="21" t="e">
        <f>F126+F127+#REF!</f>
        <v>#REF!</v>
      </c>
      <c r="G128" s="21" t="e">
        <f>G126+G127+#REF!</f>
        <v>#REF!</v>
      </c>
      <c r="H128" s="21" t="e">
        <f>H126+H127+#REF!</f>
        <v>#REF!</v>
      </c>
      <c r="I128" s="88" t="e">
        <f>I126+I127+#REF!</f>
        <v>#REF!</v>
      </c>
      <c r="J128" s="24" t="e">
        <f>J126+J127+#REF!</f>
        <v>#REF!</v>
      </c>
      <c r="K128" s="24" t="e">
        <f>K126+K127+#REF!</f>
        <v>#REF!</v>
      </c>
      <c r="L128" s="24" t="e">
        <f>L126+L127+#REF!</f>
        <v>#REF!</v>
      </c>
      <c r="M128" s="32" t="e">
        <f>M126+M127+#REF!</f>
        <v>#REF!</v>
      </c>
      <c r="N128" s="24">
        <v>759724</v>
      </c>
      <c r="O128" s="95" t="s">
        <v>81</v>
      </c>
      <c r="P128" s="24">
        <f aca="true" t="shared" si="31" ref="P128:W128">+P126+P127</f>
        <v>6135678.013380997</v>
      </c>
      <c r="Q128" s="24">
        <f t="shared" si="31"/>
        <v>6135678.013380997</v>
      </c>
      <c r="R128" s="24">
        <f t="shared" si="31"/>
        <v>0</v>
      </c>
      <c r="S128" s="24">
        <f t="shared" si="31"/>
        <v>6737014.564050046</v>
      </c>
      <c r="T128" s="181">
        <f t="shared" si="31"/>
        <v>3771752.842252549</v>
      </c>
      <c r="U128" s="24">
        <f>+U126+U127</f>
        <v>7606621.842252549</v>
      </c>
      <c r="V128" s="181">
        <f>+V126+V127</f>
        <v>3884905.427520125</v>
      </c>
      <c r="W128" s="181">
        <f t="shared" si="31"/>
        <v>4001452.590345729</v>
      </c>
      <c r="X128" s="3"/>
      <c r="Y128" s="3"/>
      <c r="Z128" s="114"/>
      <c r="AA128" s="114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ht="19.5" customHeight="1">
      <c r="A129" s="62"/>
      <c r="B129" s="63" t="s">
        <v>60</v>
      </c>
      <c r="C129" s="50"/>
      <c r="D129" s="50"/>
      <c r="E129" s="64"/>
      <c r="F129" s="64"/>
      <c r="G129" s="64"/>
      <c r="H129" s="64"/>
      <c r="I129" s="84"/>
      <c r="J129" s="24">
        <v>3867547</v>
      </c>
      <c r="K129" s="24">
        <v>2548775</v>
      </c>
      <c r="L129" s="24" t="e">
        <f>K128</f>
        <v>#REF!</v>
      </c>
      <c r="M129" s="64"/>
      <c r="N129" s="24"/>
      <c r="O129" s="24"/>
      <c r="P129" s="24">
        <v>3421091</v>
      </c>
      <c r="Q129" s="24">
        <v>3421091</v>
      </c>
      <c r="R129" s="24">
        <v>3421091</v>
      </c>
      <c r="S129" s="24">
        <v>3592145.56</v>
      </c>
      <c r="T129" s="181">
        <v>3771752.84</v>
      </c>
      <c r="U129" s="24">
        <v>3771753</v>
      </c>
      <c r="V129" s="24">
        <v>0</v>
      </c>
      <c r="W129" s="24">
        <v>0</v>
      </c>
      <c r="X129" s="3"/>
      <c r="Y129" s="3"/>
      <c r="Z129" s="114"/>
      <c r="AA129" s="114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ht="19.5" customHeight="1">
      <c r="A130" s="62"/>
      <c r="B130" s="126" t="s">
        <v>59</v>
      </c>
      <c r="C130" s="30"/>
      <c r="D130" s="30"/>
      <c r="E130" s="153"/>
      <c r="F130" s="153"/>
      <c r="G130" s="153"/>
      <c r="H130" s="153"/>
      <c r="I130" s="154"/>
      <c r="J130" s="24" t="e">
        <f>SUM(J128-J129)</f>
        <v>#REF!</v>
      </c>
      <c r="K130" s="24" t="e">
        <f>+K128-K129</f>
        <v>#REF!</v>
      </c>
      <c r="L130" s="24" t="e">
        <f>SUM(L128-L129)</f>
        <v>#REF!</v>
      </c>
      <c r="M130" s="144"/>
      <c r="N130" s="74"/>
      <c r="O130" s="74"/>
      <c r="P130" s="74">
        <f aca="true" t="shared" si="32" ref="P130:W130">+P128-P129</f>
        <v>2714587.013380997</v>
      </c>
      <c r="Q130" s="74">
        <f t="shared" si="32"/>
        <v>2714587.013380997</v>
      </c>
      <c r="R130" s="74">
        <f t="shared" si="32"/>
        <v>-3421091</v>
      </c>
      <c r="S130" s="74">
        <f t="shared" si="32"/>
        <v>3144869.0040500457</v>
      </c>
      <c r="T130" s="183">
        <f t="shared" si="32"/>
        <v>0.002252548933029175</v>
      </c>
      <c r="U130" s="74">
        <f>+U128-U129</f>
        <v>3834868.842252549</v>
      </c>
      <c r="V130" s="74">
        <f>+V128-V129</f>
        <v>3884905.427520125</v>
      </c>
      <c r="W130" s="74">
        <f t="shared" si="32"/>
        <v>4001452.590345729</v>
      </c>
      <c r="X130" s="3"/>
      <c r="Y130" s="3"/>
      <c r="Z130" s="114"/>
      <c r="AA130" s="114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ht="19.5" customHeight="1">
      <c r="A131" s="122"/>
      <c r="B131" s="123"/>
      <c r="C131" s="3"/>
      <c r="D131" s="3"/>
      <c r="E131" s="31"/>
      <c r="F131" s="31"/>
      <c r="G131" s="31"/>
      <c r="H131" s="31"/>
      <c r="I131" s="82"/>
      <c r="J131" s="70"/>
      <c r="K131" s="70"/>
      <c r="L131" s="70"/>
      <c r="M131" s="70"/>
      <c r="N131" s="124"/>
      <c r="O131" s="124"/>
      <c r="P131" s="70"/>
      <c r="Q131" s="70"/>
      <c r="R131" s="70"/>
      <c r="S131" s="70"/>
      <c r="T131" s="172"/>
      <c r="U131" s="172"/>
      <c r="V131" s="70"/>
      <c r="W131" s="70"/>
      <c r="X131" s="3"/>
      <c r="Y131" s="3"/>
      <c r="Z131" s="114"/>
      <c r="AA131" s="114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ht="19.5" customHeight="1">
      <c r="A132" s="1"/>
      <c r="B132" s="1"/>
      <c r="C132" s="4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25"/>
      <c r="O132" s="125"/>
      <c r="P132" s="70"/>
      <c r="Q132" s="70"/>
      <c r="R132" s="70"/>
      <c r="T132" s="172"/>
      <c r="U132" s="172"/>
      <c r="V132" s="70"/>
      <c r="W132" s="70"/>
      <c r="X132" s="3"/>
      <c r="Y132" s="3"/>
      <c r="Z132" s="114"/>
      <c r="AA132" s="114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ht="15.75">
      <c r="S133" s="3"/>
    </row>
    <row r="134" ht="15.75">
      <c r="S134" s="3"/>
    </row>
    <row r="135" ht="15.75">
      <c r="S135" s="3"/>
    </row>
    <row r="136" ht="15.75">
      <c r="S136" s="3"/>
    </row>
    <row r="137" ht="15.75">
      <c r="S137" s="3"/>
    </row>
    <row r="138" ht="15.75">
      <c r="S138" s="3"/>
    </row>
    <row r="139" ht="15.75">
      <c r="S139" s="3"/>
    </row>
    <row r="140" ht="15.75">
      <c r="S140" s="3"/>
    </row>
    <row r="141" ht="15.75">
      <c r="S141" s="3"/>
    </row>
    <row r="142" ht="15.75">
      <c r="S142" s="3"/>
    </row>
    <row r="143" ht="15.75">
      <c r="S143" s="3"/>
    </row>
    <row r="144" ht="15.75">
      <c r="S144" s="3"/>
    </row>
    <row r="145" ht="15.75">
      <c r="S145" s="3"/>
    </row>
    <row r="146" ht="15.75">
      <c r="S146" s="3"/>
    </row>
    <row r="147" ht="15.75">
      <c r="S147" s="3"/>
    </row>
    <row r="148" ht="15.75">
      <c r="S148" s="3"/>
    </row>
    <row r="149" ht="15.75">
      <c r="S149" s="3"/>
    </row>
    <row r="150" ht="15.75">
      <c r="S150" s="3"/>
    </row>
    <row r="151" ht="15.75">
      <c r="S151" s="3"/>
    </row>
    <row r="152" ht="15.75">
      <c r="S152" s="3"/>
    </row>
    <row r="153" ht="15.75">
      <c r="S153" s="3"/>
    </row>
    <row r="154" ht="15.75">
      <c r="S154" s="3"/>
    </row>
    <row r="155" ht="15.75">
      <c r="S155" s="3"/>
    </row>
    <row r="156" ht="15.75">
      <c r="S156" s="3"/>
    </row>
    <row r="157" ht="15.75">
      <c r="S157" s="3"/>
    </row>
    <row r="158" ht="15.75">
      <c r="S158" s="3"/>
    </row>
    <row r="159" ht="15.75">
      <c r="S159" s="3"/>
    </row>
    <row r="160" ht="15.75">
      <c r="S160" s="3"/>
    </row>
    <row r="161" ht="15.75">
      <c r="S161" s="3"/>
    </row>
    <row r="162" ht="15.75">
      <c r="S162" s="3"/>
    </row>
    <row r="163" ht="15.75">
      <c r="S163" s="3"/>
    </row>
    <row r="164" ht="15.75">
      <c r="S164" s="3"/>
    </row>
    <row r="165" ht="15.75">
      <c r="S165" s="3"/>
    </row>
    <row r="166" ht="15.75">
      <c r="S166" s="3"/>
    </row>
    <row r="167" ht="15.75">
      <c r="S167" s="3"/>
    </row>
    <row r="168" ht="15.75">
      <c r="S168" s="3"/>
    </row>
    <row r="169" ht="15.75">
      <c r="S169" s="3"/>
    </row>
    <row r="170" ht="15.75">
      <c r="S170" s="3"/>
    </row>
    <row r="171" ht="15.75">
      <c r="S171" s="3"/>
    </row>
    <row r="172" ht="15.75">
      <c r="S172" s="3"/>
    </row>
    <row r="173" ht="15.75">
      <c r="S173" s="3"/>
    </row>
    <row r="174" ht="15.75">
      <c r="S174" s="3"/>
    </row>
    <row r="175" ht="15.75">
      <c r="S175" s="3"/>
    </row>
    <row r="176" ht="15.75">
      <c r="S176" s="3"/>
    </row>
    <row r="177" ht="15.75">
      <c r="S177" s="3"/>
    </row>
    <row r="178" ht="15.75">
      <c r="S178" s="3"/>
    </row>
    <row r="179" ht="15.75">
      <c r="S179" s="3"/>
    </row>
    <row r="180" ht="15.75">
      <c r="S180" s="3"/>
    </row>
    <row r="181" ht="15.75">
      <c r="S181" s="3"/>
    </row>
    <row r="182" ht="15.75">
      <c r="S182" s="3"/>
    </row>
    <row r="183" ht="15.75">
      <c r="S183" s="3"/>
    </row>
    <row r="184" ht="15.75">
      <c r="S184" s="3"/>
    </row>
    <row r="185" ht="15.75">
      <c r="S185" s="3"/>
    </row>
    <row r="186" ht="15.75">
      <c r="S186" s="3"/>
    </row>
    <row r="187" ht="15.75">
      <c r="S187" s="3"/>
    </row>
    <row r="188" ht="15.75">
      <c r="S188" s="3"/>
    </row>
    <row r="189" ht="15.75">
      <c r="S189" s="3"/>
    </row>
    <row r="190" ht="15.75">
      <c r="S190" s="3"/>
    </row>
    <row r="191" ht="15.75">
      <c r="S191" s="3"/>
    </row>
    <row r="192" ht="15.75">
      <c r="S192" s="3"/>
    </row>
    <row r="193" ht="15.75">
      <c r="S193" s="3"/>
    </row>
    <row r="194" ht="15.75">
      <c r="S194" s="3"/>
    </row>
    <row r="195" ht="15.75">
      <c r="S195" s="3"/>
    </row>
    <row r="196" ht="15.75">
      <c r="S196" s="3"/>
    </row>
    <row r="197" ht="15.75">
      <c r="S197" s="3"/>
    </row>
    <row r="198" ht="15.75">
      <c r="S198" s="3"/>
    </row>
    <row r="199" ht="15.75">
      <c r="S199" s="3"/>
    </row>
    <row r="200" ht="15.75">
      <c r="S200" s="3"/>
    </row>
    <row r="201" ht="15.75">
      <c r="S201" s="3"/>
    </row>
    <row r="202" ht="15.75">
      <c r="S202" s="3"/>
    </row>
    <row r="203" ht="15.75">
      <c r="S203" s="3"/>
    </row>
    <row r="204" ht="15.75">
      <c r="S204" s="3"/>
    </row>
    <row r="205" ht="15.75">
      <c r="S205" s="3"/>
    </row>
    <row r="206" ht="15.75">
      <c r="S206" s="3"/>
    </row>
    <row r="207" ht="15.75">
      <c r="S207" s="3"/>
    </row>
    <row r="208" ht="15.75">
      <c r="S208" s="3"/>
    </row>
    <row r="209" ht="15.75">
      <c r="S209" s="3"/>
    </row>
    <row r="210" ht="15.75">
      <c r="S210" s="3"/>
    </row>
    <row r="211" ht="15.75">
      <c r="S211" s="3"/>
    </row>
    <row r="212" ht="15.75">
      <c r="S212" s="3"/>
    </row>
    <row r="213" ht="15.75">
      <c r="S213" s="3"/>
    </row>
    <row r="214" ht="15.75">
      <c r="S214" s="3"/>
    </row>
    <row r="215" ht="15.75">
      <c r="S215" s="3"/>
    </row>
    <row r="216" ht="15.75">
      <c r="S216" s="3"/>
    </row>
    <row r="217" ht="15.75">
      <c r="S217" s="3"/>
    </row>
    <row r="218" ht="15.75">
      <c r="S218" s="3"/>
    </row>
    <row r="219" ht="15.75">
      <c r="S219" s="3"/>
    </row>
    <row r="220" ht="15.75">
      <c r="S220" s="3"/>
    </row>
    <row r="221" ht="15.75">
      <c r="S221" s="3"/>
    </row>
    <row r="222" ht="15.75">
      <c r="S222" s="3"/>
    </row>
    <row r="223" ht="15.75">
      <c r="S223" s="3"/>
    </row>
    <row r="224" ht="15.75">
      <c r="S224" s="3"/>
    </row>
    <row r="225" ht="15.75">
      <c r="S225" s="3"/>
    </row>
    <row r="226" ht="15.75">
      <c r="S226" s="3"/>
    </row>
    <row r="227" ht="15.75">
      <c r="S227" s="3"/>
    </row>
    <row r="228" ht="15.75">
      <c r="S228" s="3"/>
    </row>
    <row r="229" ht="15.75">
      <c r="S229" s="3"/>
    </row>
    <row r="230" ht="15.75">
      <c r="S230" s="3"/>
    </row>
    <row r="231" ht="15.75">
      <c r="S231" s="3"/>
    </row>
    <row r="232" ht="15.75">
      <c r="S232" s="3"/>
    </row>
    <row r="233" ht="15.75">
      <c r="S233" s="3"/>
    </row>
    <row r="234" ht="15.75">
      <c r="S234" s="3"/>
    </row>
    <row r="235" ht="15.75">
      <c r="S235" s="3"/>
    </row>
    <row r="236" ht="15.75">
      <c r="S236" s="3"/>
    </row>
    <row r="237" ht="15.75">
      <c r="S237" s="3"/>
    </row>
    <row r="238" ht="15.75">
      <c r="S238" s="3"/>
    </row>
    <row r="239" ht="15.75">
      <c r="S239" s="3"/>
    </row>
    <row r="240" ht="15.75">
      <c r="S240" s="3"/>
    </row>
    <row r="241" ht="15.75">
      <c r="S241" s="3"/>
    </row>
    <row r="242" ht="15.75">
      <c r="S242" s="3"/>
    </row>
    <row r="243" ht="15.75">
      <c r="S243" s="3"/>
    </row>
    <row r="244" ht="15.75">
      <c r="S244" s="3"/>
    </row>
    <row r="245" ht="15.75">
      <c r="S245" s="3"/>
    </row>
    <row r="246" ht="15.75">
      <c r="S246" s="3"/>
    </row>
    <row r="247" ht="15.75">
      <c r="S247" s="3"/>
    </row>
    <row r="248" ht="15.75">
      <c r="S248" s="3"/>
    </row>
    <row r="249" ht="15.75">
      <c r="S249" s="3"/>
    </row>
    <row r="250" ht="15.75">
      <c r="S250" s="3"/>
    </row>
    <row r="251" ht="15.75">
      <c r="S251" s="3"/>
    </row>
    <row r="252" ht="15.75">
      <c r="S252" s="3"/>
    </row>
    <row r="253" ht="15.75">
      <c r="S253" s="3"/>
    </row>
    <row r="254" ht="15.75">
      <c r="S254" s="3"/>
    </row>
    <row r="255" ht="15.75">
      <c r="S255" s="3"/>
    </row>
    <row r="256" ht="15.75">
      <c r="S256" s="3"/>
    </row>
    <row r="257" ht="15.75">
      <c r="S257" s="3"/>
    </row>
    <row r="258" ht="15.75">
      <c r="S258" s="3"/>
    </row>
    <row r="259" ht="15.75">
      <c r="S259" s="3"/>
    </row>
    <row r="260" ht="15.75">
      <c r="S260" s="3"/>
    </row>
    <row r="261" ht="15.75">
      <c r="S261" s="3"/>
    </row>
    <row r="262" ht="15.75">
      <c r="S262" s="3"/>
    </row>
    <row r="263" ht="15.75">
      <c r="S263" s="3"/>
    </row>
    <row r="264" ht="15.75">
      <c r="S264" s="3"/>
    </row>
    <row r="265" ht="15.75">
      <c r="S265" s="3"/>
    </row>
    <row r="266" ht="15.75">
      <c r="S266" s="3"/>
    </row>
    <row r="267" ht="15.75">
      <c r="S267" s="3"/>
    </row>
    <row r="268" ht="15.75">
      <c r="S268" s="3"/>
    </row>
    <row r="269" ht="15.75">
      <c r="S269" s="3"/>
    </row>
    <row r="270" ht="15.75">
      <c r="S270" s="3"/>
    </row>
    <row r="271" ht="15.75">
      <c r="S271" s="3"/>
    </row>
    <row r="272" ht="15.75">
      <c r="S272" s="3"/>
    </row>
    <row r="273" ht="15.75">
      <c r="S273" s="3"/>
    </row>
    <row r="274" ht="15.75">
      <c r="S274" s="3"/>
    </row>
    <row r="275" ht="15.75">
      <c r="S275" s="3"/>
    </row>
    <row r="276" ht="15.75">
      <c r="S276" s="3"/>
    </row>
    <row r="277" ht="15.75">
      <c r="S277" s="3"/>
    </row>
    <row r="278" ht="15.75">
      <c r="S278" s="3"/>
    </row>
    <row r="279" ht="15.75">
      <c r="S279" s="3"/>
    </row>
    <row r="280" ht="15.75">
      <c r="S280" s="3"/>
    </row>
    <row r="281" ht="15.75">
      <c r="S281" s="3"/>
    </row>
    <row r="282" ht="15.75">
      <c r="S282" s="3"/>
    </row>
    <row r="283" ht="15.75">
      <c r="S283" s="3"/>
    </row>
    <row r="284" ht="15.75">
      <c r="S284" s="3"/>
    </row>
    <row r="285" ht="15.75">
      <c r="S285" s="3"/>
    </row>
    <row r="286" ht="15.75">
      <c r="S286" s="3"/>
    </row>
    <row r="287" ht="15.75">
      <c r="S287" s="3"/>
    </row>
    <row r="288" ht="15.75">
      <c r="S288" s="3"/>
    </row>
    <row r="289" ht="15.75">
      <c r="S289" s="3"/>
    </row>
    <row r="290" ht="15.75">
      <c r="S290" s="3"/>
    </row>
    <row r="291" ht="15.75">
      <c r="S291" s="3"/>
    </row>
    <row r="292" ht="15.75">
      <c r="S292" s="3"/>
    </row>
    <row r="293" ht="15.75">
      <c r="S293" s="3"/>
    </row>
    <row r="294" ht="15.75">
      <c r="S294" s="3"/>
    </row>
    <row r="295" ht="15.75">
      <c r="S295" s="3"/>
    </row>
    <row r="296" ht="15.75">
      <c r="S296" s="3"/>
    </row>
    <row r="297" ht="15.75">
      <c r="S297" s="3"/>
    </row>
    <row r="298" ht="15.75">
      <c r="S298" s="3"/>
    </row>
    <row r="299" ht="15.75">
      <c r="S299" s="3"/>
    </row>
    <row r="300" ht="15.75">
      <c r="S300" s="3"/>
    </row>
    <row r="301" ht="15.75">
      <c r="S301" s="3"/>
    </row>
    <row r="302" ht="15.75">
      <c r="S302" s="3"/>
    </row>
    <row r="303" ht="15.75">
      <c r="S303" s="3"/>
    </row>
    <row r="304" ht="15.75">
      <c r="S304" s="3"/>
    </row>
    <row r="305" ht="15.75">
      <c r="S305" s="3"/>
    </row>
    <row r="306" ht="15.75">
      <c r="S306" s="3"/>
    </row>
    <row r="307" ht="15.75">
      <c r="S307" s="3"/>
    </row>
    <row r="308" ht="15.75">
      <c r="S308" s="3"/>
    </row>
    <row r="309" ht="15.75">
      <c r="S309" s="3"/>
    </row>
    <row r="310" ht="15.75">
      <c r="S310" s="3"/>
    </row>
    <row r="311" ht="15.75">
      <c r="S311" s="3"/>
    </row>
    <row r="312" ht="15.75">
      <c r="S312" s="3"/>
    </row>
    <row r="313" ht="15.75">
      <c r="S313" s="3"/>
    </row>
    <row r="314" ht="15.75">
      <c r="S314" s="3"/>
    </row>
    <row r="315" ht="15.75">
      <c r="S315" s="3"/>
    </row>
    <row r="316" ht="15.75">
      <c r="S316" s="3"/>
    </row>
    <row r="317" ht="15.75">
      <c r="S317" s="3"/>
    </row>
    <row r="318" ht="15.75">
      <c r="S318" s="3"/>
    </row>
    <row r="319" ht="15.75">
      <c r="S319" s="3"/>
    </row>
    <row r="320" ht="15.75">
      <c r="S320" s="3"/>
    </row>
    <row r="321" ht="15.75">
      <c r="S321" s="3"/>
    </row>
    <row r="322" ht="15.75">
      <c r="S322" s="3"/>
    </row>
    <row r="323" ht="15.75">
      <c r="S323" s="3"/>
    </row>
    <row r="324" ht="15.75">
      <c r="S324" s="3"/>
    </row>
    <row r="325" ht="15.75">
      <c r="S325" s="3"/>
    </row>
    <row r="326" ht="15.75">
      <c r="S326" s="3"/>
    </row>
    <row r="327" ht="15.75">
      <c r="S327" s="3"/>
    </row>
    <row r="328" ht="15.75">
      <c r="S328" s="3"/>
    </row>
    <row r="329" ht="15.75">
      <c r="S329" s="3"/>
    </row>
    <row r="330" ht="15.75">
      <c r="S330" s="3"/>
    </row>
    <row r="331" ht="15.75">
      <c r="S331" s="3"/>
    </row>
    <row r="332" ht="15.75">
      <c r="S332" s="3"/>
    </row>
    <row r="333" ht="15.75">
      <c r="S333" s="3"/>
    </row>
    <row r="334" ht="15.75">
      <c r="S334" s="3"/>
    </row>
    <row r="335" ht="15.75">
      <c r="S335" s="3"/>
    </row>
    <row r="336" ht="15.75">
      <c r="S336" s="3"/>
    </row>
    <row r="337" ht="15.75">
      <c r="S337" s="3"/>
    </row>
    <row r="338" ht="15.75">
      <c r="S338" s="3"/>
    </row>
    <row r="339" ht="15.75">
      <c r="S339" s="3"/>
    </row>
    <row r="340" ht="15.75">
      <c r="S340" s="3"/>
    </row>
    <row r="341" ht="15.75">
      <c r="S341" s="3"/>
    </row>
    <row r="342" ht="15.75">
      <c r="S342" s="3"/>
    </row>
    <row r="343" ht="15.75">
      <c r="S343" s="3"/>
    </row>
    <row r="344" ht="15.75">
      <c r="S344" s="3"/>
    </row>
    <row r="345" ht="15.75">
      <c r="S345" s="3"/>
    </row>
    <row r="346" ht="15.75">
      <c r="S346" s="3"/>
    </row>
    <row r="347" ht="15.75">
      <c r="S347" s="3"/>
    </row>
    <row r="348" ht="15.75">
      <c r="S348" s="3"/>
    </row>
    <row r="349" ht="15.75">
      <c r="S349" s="3"/>
    </row>
    <row r="350" ht="15.75">
      <c r="S350" s="3"/>
    </row>
    <row r="351" ht="15.75">
      <c r="S351" s="3"/>
    </row>
    <row r="352" ht="15.75">
      <c r="S352" s="3"/>
    </row>
    <row r="353" ht="15.75">
      <c r="S353" s="3"/>
    </row>
    <row r="354" ht="15.75">
      <c r="S354" s="3"/>
    </row>
    <row r="355" ht="15.75">
      <c r="S355" s="3"/>
    </row>
    <row r="356" ht="15.75">
      <c r="S356" s="3"/>
    </row>
    <row r="357" ht="15.75">
      <c r="S357" s="3"/>
    </row>
    <row r="358" ht="15.75">
      <c r="S358" s="3"/>
    </row>
    <row r="359" ht="15.75">
      <c r="S359" s="3"/>
    </row>
    <row r="360" ht="15.75">
      <c r="S360" s="3"/>
    </row>
    <row r="361" ht="15.75">
      <c r="S361" s="3"/>
    </row>
    <row r="362" ht="15.75">
      <c r="S362" s="3"/>
    </row>
    <row r="363" ht="15.75">
      <c r="S363" s="3"/>
    </row>
    <row r="364" ht="15.75">
      <c r="S364" s="3"/>
    </row>
    <row r="365" ht="15.75">
      <c r="S365" s="3"/>
    </row>
    <row r="366" ht="15.75">
      <c r="S366" s="3"/>
    </row>
    <row r="367" ht="15.75">
      <c r="S367" s="3"/>
    </row>
    <row r="368" ht="15.75">
      <c r="S368" s="3"/>
    </row>
    <row r="369" ht="15.75">
      <c r="S369" s="3"/>
    </row>
    <row r="370" ht="15.75">
      <c r="S370" s="3"/>
    </row>
    <row r="371" ht="15.75">
      <c r="S371" s="3"/>
    </row>
    <row r="372" ht="15.75">
      <c r="S372" s="3"/>
    </row>
    <row r="373" ht="15.75">
      <c r="S373" s="3"/>
    </row>
    <row r="374" ht="15.75">
      <c r="S374" s="3"/>
    </row>
    <row r="375" ht="15.75">
      <c r="S375" s="3"/>
    </row>
    <row r="376" ht="15.75">
      <c r="S376" s="3"/>
    </row>
    <row r="377" ht="15.75">
      <c r="S377" s="3"/>
    </row>
    <row r="378" ht="15.75">
      <c r="S378" s="3"/>
    </row>
    <row r="379" ht="15.75">
      <c r="S379" s="3"/>
    </row>
    <row r="380" ht="15.75">
      <c r="S380" s="3"/>
    </row>
    <row r="381" ht="15.75">
      <c r="S381" s="3"/>
    </row>
    <row r="382" ht="15.75">
      <c r="S382" s="3"/>
    </row>
    <row r="383" ht="15.75">
      <c r="S383" s="3"/>
    </row>
    <row r="384" ht="15.75">
      <c r="S384" s="3"/>
    </row>
    <row r="385" ht="15.75">
      <c r="S385" s="3"/>
    </row>
    <row r="386" ht="15.75">
      <c r="S386" s="3"/>
    </row>
    <row r="387" ht="15.75">
      <c r="S387" s="3"/>
    </row>
    <row r="388" ht="15.75">
      <c r="S388" s="3"/>
    </row>
    <row r="389" ht="15.75">
      <c r="S389" s="3"/>
    </row>
    <row r="390" ht="15.75">
      <c r="S390" s="3"/>
    </row>
    <row r="391" ht="15.75">
      <c r="S391" s="3"/>
    </row>
    <row r="392" ht="15.75">
      <c r="S392" s="3"/>
    </row>
    <row r="393" ht="15.75">
      <c r="S393" s="3"/>
    </row>
    <row r="394" ht="15.75">
      <c r="S394" s="3"/>
    </row>
    <row r="395" ht="15.75">
      <c r="S395" s="3"/>
    </row>
    <row r="396" ht="15.75">
      <c r="S396" s="3"/>
    </row>
    <row r="397" ht="15.75">
      <c r="S397" s="3"/>
    </row>
    <row r="398" ht="15.75">
      <c r="S398" s="3"/>
    </row>
    <row r="399" ht="15.75">
      <c r="S399" s="3"/>
    </row>
    <row r="400" ht="15.75">
      <c r="S400" s="3"/>
    </row>
    <row r="401" ht="15.75">
      <c r="S401" s="3"/>
    </row>
    <row r="402" ht="15.75">
      <c r="S402" s="3"/>
    </row>
    <row r="403" ht="15.75">
      <c r="S403" s="3"/>
    </row>
    <row r="404" ht="15.75">
      <c r="S404" s="3"/>
    </row>
    <row r="405" ht="15.75">
      <c r="S405" s="3"/>
    </row>
    <row r="406" ht="15.75">
      <c r="S406" s="3"/>
    </row>
    <row r="407" ht="15.75">
      <c r="S407" s="3"/>
    </row>
    <row r="408" ht="15.75">
      <c r="S408" s="3"/>
    </row>
    <row r="409" ht="15.75">
      <c r="S409" s="3"/>
    </row>
    <row r="410" ht="15.75">
      <c r="S410" s="3"/>
    </row>
    <row r="411" ht="15.75">
      <c r="S411" s="3"/>
    </row>
    <row r="412" ht="15.75">
      <c r="S412" s="3"/>
    </row>
    <row r="413" ht="15.75">
      <c r="S413" s="3"/>
    </row>
    <row r="414" ht="15.75">
      <c r="S414" s="3"/>
    </row>
    <row r="415" ht="15.75">
      <c r="S415" s="3"/>
    </row>
    <row r="416" ht="15.75">
      <c r="S416" s="3"/>
    </row>
    <row r="417" ht="15.75">
      <c r="S417" s="3"/>
    </row>
    <row r="418" ht="15.75">
      <c r="S418" s="3"/>
    </row>
    <row r="419" ht="15.75">
      <c r="S419" s="3"/>
    </row>
    <row r="420" ht="15.75">
      <c r="S420" s="3"/>
    </row>
    <row r="421" ht="15.75">
      <c r="S421" s="3"/>
    </row>
    <row r="422" ht="15.75">
      <c r="S422" s="3"/>
    </row>
    <row r="423" ht="15.75">
      <c r="S423" s="3"/>
    </row>
    <row r="424" ht="15.75">
      <c r="S424" s="3"/>
    </row>
    <row r="425" ht="15.75">
      <c r="S425" s="3"/>
    </row>
    <row r="426" ht="15.75">
      <c r="S426" s="3"/>
    </row>
    <row r="427" ht="15.75">
      <c r="S427" s="3"/>
    </row>
    <row r="428" ht="15.75">
      <c r="S428" s="3"/>
    </row>
    <row r="429" ht="15.75">
      <c r="S429" s="3"/>
    </row>
    <row r="430" ht="15.75">
      <c r="S430" s="3"/>
    </row>
    <row r="431" ht="15.75">
      <c r="S431" s="3"/>
    </row>
    <row r="432" ht="15.75">
      <c r="S432" s="3"/>
    </row>
    <row r="433" ht="15.75">
      <c r="S433" s="3"/>
    </row>
    <row r="434" ht="15.75">
      <c r="S434" s="3"/>
    </row>
    <row r="435" ht="15.75">
      <c r="S435" s="3"/>
    </row>
    <row r="436" ht="15.75">
      <c r="S436" s="3"/>
    </row>
    <row r="437" ht="15.75">
      <c r="S437" s="3"/>
    </row>
    <row r="438" ht="15.75">
      <c r="S438" s="3"/>
    </row>
    <row r="439" ht="15.75">
      <c r="S439" s="3"/>
    </row>
    <row r="440" ht="15.75">
      <c r="S440" s="3"/>
    </row>
    <row r="441" ht="15.75">
      <c r="S441" s="3"/>
    </row>
    <row r="442" ht="15.75">
      <c r="S442" s="3"/>
    </row>
    <row r="443" ht="15.75">
      <c r="S443" s="3"/>
    </row>
    <row r="444" ht="15.75">
      <c r="S444" s="3"/>
    </row>
    <row r="445" ht="15.75">
      <c r="S445" s="3"/>
    </row>
    <row r="446" ht="15.75">
      <c r="S446" s="3"/>
    </row>
    <row r="447" ht="15.75">
      <c r="S447" s="3"/>
    </row>
    <row r="448" ht="15.75">
      <c r="S448" s="3"/>
    </row>
    <row r="449" ht="15.75">
      <c r="S449" s="3"/>
    </row>
    <row r="450" ht="15.75">
      <c r="S450" s="3"/>
    </row>
    <row r="451" ht="15.75">
      <c r="S451" s="3"/>
    </row>
    <row r="452" ht="15.75">
      <c r="S452" s="3"/>
    </row>
    <row r="453" ht="15.75">
      <c r="S453" s="3"/>
    </row>
    <row r="454" ht="15.75">
      <c r="S454" s="3"/>
    </row>
    <row r="455" ht="15.75">
      <c r="S455" s="3"/>
    </row>
    <row r="456" ht="15.75">
      <c r="S456" s="3"/>
    </row>
    <row r="457" ht="15.75">
      <c r="S457" s="3"/>
    </row>
    <row r="458" ht="15.75">
      <c r="S458" s="3"/>
    </row>
    <row r="459" ht="15.75">
      <c r="S459" s="3"/>
    </row>
    <row r="460" ht="15.75">
      <c r="S460" s="3"/>
    </row>
    <row r="461" ht="15.75">
      <c r="S461" s="3"/>
    </row>
    <row r="462" ht="15.75">
      <c r="S462" s="3"/>
    </row>
    <row r="463" ht="15.75">
      <c r="S463" s="3"/>
    </row>
    <row r="464" ht="15.75">
      <c r="S464" s="3"/>
    </row>
    <row r="465" ht="15.75">
      <c r="S465" s="3"/>
    </row>
  </sheetData>
  <sheetProtection/>
  <mergeCells count="4">
    <mergeCell ref="AD98:AE98"/>
    <mergeCell ref="B122:C122"/>
    <mergeCell ref="A95:W95"/>
    <mergeCell ref="A4:W4"/>
  </mergeCells>
  <printOptions horizontalCentered="1"/>
  <pageMargins left="0.3937007874015748" right="0.2362204724409449" top="0.47" bottom="0.1968503937007874" header="1.11" footer="0.1968503937007874"/>
  <pageSetup blackAndWhite="1" horizontalDpi="600" verticalDpi="600" orientation="landscape" scale="57" r:id="rId1"/>
  <rowBreaks count="2" manualBreakCount="2">
    <brk id="55" max="20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Revised, approved 2011 and proposed 2012 budgets of the Fund Secretariat</dc:title>
  <dc:subject/>
  <dc:creator>UNMFS</dc:creator>
  <cp:keywords/>
  <dc:description/>
  <cp:lastModifiedBy>User</cp:lastModifiedBy>
  <cp:lastPrinted>2010-12-03T00:00:07Z</cp:lastPrinted>
  <dcterms:created xsi:type="dcterms:W3CDTF">1998-10-02T21:40:05Z</dcterms:created>
  <dcterms:modified xsi:type="dcterms:W3CDTF">2010-12-03T14:46:40Z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460457555</vt:i4>
  </property>
  <property fmtid="{D5CDD505-2E9C-101B-9397-08002B2CF9AE}" pid="3" name="_EmailSubject">
    <vt:lpwstr>revised 2010, 2011 and proposed 2012 budget</vt:lpwstr>
  </property>
  <property fmtid="{D5CDD505-2E9C-101B-9397-08002B2CF9AE}" pid="4" name="_AuthorEmail">
    <vt:lpwstr>jack@unmfs.org</vt:lpwstr>
  </property>
  <property fmtid="{D5CDD505-2E9C-101B-9397-08002B2CF9AE}" pid="5" name="_AuthorEmailDisplayName">
    <vt:lpwstr>Jack Lee</vt:lpwstr>
  </property>
  <property fmtid="{D5CDD505-2E9C-101B-9397-08002B2CF9AE}" pid="6" name="_PreviousAdHocReviewCycleID">
    <vt:i4>-30240782</vt:i4>
  </property>
  <property fmtid="{D5CDD505-2E9C-101B-9397-08002B2CF9AE}" pid="7" name="_ReviewingToolsShownOnce">
    <vt:lpwstr/>
  </property>
  <property fmtid="{D5CDD505-2E9C-101B-9397-08002B2CF9AE}" pid="8" name="Language">
    <vt:lpwstr>English</vt:lpwstr>
  </property>
  <property fmtid="{D5CDD505-2E9C-101B-9397-08002B2CF9AE}" pid="9" name="Sort number">
    <vt:lpwstr>24.0000000000000</vt:lpwstr>
  </property>
  <property fmtid="{D5CDD505-2E9C-101B-9397-08002B2CF9AE}" pid="10" name="Document Number">
    <vt:lpwstr>UNEP/OzL.Pro/ExCom/62/L.1</vt:lpwstr>
  </property>
</Properties>
</file>