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555" windowWidth="4770" windowHeight="4815" tabRatio="937" activeTab="7"/>
  </bookViews>
  <sheets>
    <sheet name="status" sheetId="1" r:id="rId1"/>
    <sheet name="statistics" sheetId="2" r:id="rId2"/>
    <sheet name="YR91-09" sheetId="3" r:id="rId3"/>
    <sheet name="YR2009" sheetId="4" r:id="rId4"/>
    <sheet name="YR2008" sheetId="5" r:id="rId5"/>
    <sheet name="YR2007" sheetId="6" r:id="rId6"/>
    <sheet name="YR2006" sheetId="7" r:id="rId7"/>
    <sheet name="YR06-08" sheetId="8" r:id="rId8"/>
    <sheet name="YR2005" sheetId="9" state="hidden" r:id="rId9"/>
    <sheet name="YR2004" sheetId="10" state="hidden" r:id="rId10"/>
    <sheet name="YR2003" sheetId="11" state="hidden" r:id="rId11"/>
    <sheet name="YR91-02" sheetId="12" state="hidden" r:id="rId12"/>
    <sheet name="YR2002" sheetId="13" state="hidden" r:id="rId13"/>
    <sheet name="YR2001" sheetId="14" state="hidden" r:id="rId14"/>
    <sheet name="YR2000" sheetId="15" state="hidden" r:id="rId15"/>
    <sheet name="YR00-02" sheetId="16" state="hidden" r:id="rId16"/>
    <sheet name="YR97-99" sheetId="17" state="hidden" r:id="rId17"/>
    <sheet name="YR94-96" sheetId="18" state="hidden" r:id="rId18"/>
    <sheet name="YR91-93" sheetId="19" state="hidden" r:id="rId19"/>
    <sheet name="YR99" sheetId="20" state="hidden" r:id="rId20"/>
    <sheet name="YR98" sheetId="21" state="hidden" r:id="rId21"/>
    <sheet name="YR97" sheetId="22" state="hidden" r:id="rId22"/>
    <sheet name="YR96" sheetId="23" state="hidden" r:id="rId23"/>
    <sheet name="YR95" sheetId="24" state="hidden" r:id="rId24"/>
    <sheet name="YR94" sheetId="25" state="hidden" r:id="rId25"/>
    <sheet name="YR93" sheetId="26" state="hidden" r:id="rId26"/>
    <sheet name="YR92" sheetId="27" state="hidden" r:id="rId27"/>
    <sheet name="YR91" sheetId="28" state="hidden" r:id="rId28"/>
  </sheets>
  <externalReferences>
    <externalReference r:id="rId31"/>
  </externalReferences>
  <definedNames>
    <definedName name="english00" localSheetId="13">'YR2001'!$A$1:$F$50</definedName>
    <definedName name="english00" localSheetId="12">'YR2002'!$A$1:$F$50</definedName>
    <definedName name="english00" localSheetId="10">'YR2003'!$A$1:$F$50</definedName>
    <definedName name="english9199" localSheetId="11">'YR91-02'!$A$1:$F$54</definedName>
    <definedName name="english9199" localSheetId="2">'YR91-09'!$A$1:$F$64</definedName>
    <definedName name="english9799" localSheetId="15">'YR00-02'!$A$1:$F$50</definedName>
    <definedName name="French" localSheetId="15">'YR00-02'!#REF!</definedName>
    <definedName name="French" localSheetId="14">'YR2000'!#REF!</definedName>
    <definedName name="French" localSheetId="13">'YR2001'!#REF!</definedName>
    <definedName name="French" localSheetId="12">'YR2002'!#REF!</definedName>
    <definedName name="French" localSheetId="10">'YR2003'!#REF!</definedName>
    <definedName name="French" localSheetId="11">'YR91-02'!#REF!</definedName>
    <definedName name="French" localSheetId="2">'YR91-09'!#REF!</definedName>
    <definedName name="French" localSheetId="18">'YR91-93'!#REF!</definedName>
    <definedName name="French" localSheetId="17">'YR94-96'!#REF!</definedName>
    <definedName name="French" localSheetId="21">'YR97'!#REF!</definedName>
    <definedName name="French" localSheetId="16">'YR97-99'!#REF!</definedName>
    <definedName name="French" localSheetId="19">'YR99'!#REF!</definedName>
    <definedName name="_xlnm.Print_Area" localSheetId="1">'statistics'!$A$1:$J$34</definedName>
    <definedName name="_xlnm.Print_Area" localSheetId="0">'status'!$A$1:$D$56</definedName>
    <definedName name="_xlnm.Print_Area" localSheetId="15">'YR00-02'!$A$1:$F$50</definedName>
    <definedName name="_xlnm.Print_Area" localSheetId="7">'YR06-08'!$A$1:$F$56</definedName>
    <definedName name="_xlnm.Print_Area" localSheetId="14">'YR2000'!$A$1:$F$50</definedName>
    <definedName name="_xlnm.Print_Area" localSheetId="13">'YR2001'!$A$1:$F$50</definedName>
    <definedName name="_xlnm.Print_Area" localSheetId="12">'YR2002'!$A$1:$F$50</definedName>
    <definedName name="_xlnm.Print_Area" localSheetId="10">'YR2003'!$A$1:$F$51</definedName>
    <definedName name="_xlnm.Print_Area" localSheetId="9">'YR2004'!$A$1:$F$53</definedName>
    <definedName name="_xlnm.Print_Area" localSheetId="8">'YR2005'!$A$1:$G$52</definedName>
    <definedName name="_xlnm.Print_Area" localSheetId="6">'YR2006'!$A$1:$F$53</definedName>
    <definedName name="_xlnm.Print_Area" localSheetId="5">'YR2007'!$A$1:$F$57</definedName>
    <definedName name="_xlnm.Print_Area" localSheetId="4">'YR2008'!$A$1:$F$59</definedName>
    <definedName name="_xlnm.Print_Area" localSheetId="3">'YR2009'!$A$1:$F$56</definedName>
    <definedName name="_xlnm.Print_Area" localSheetId="27">'YR91'!$A$1:$F$59</definedName>
    <definedName name="_xlnm.Print_Area" localSheetId="11">'YR91-02'!$A$1:$F$54</definedName>
    <definedName name="_xlnm.Print_Area" localSheetId="2">'YR91-09'!$A$1:$G$66</definedName>
    <definedName name="_xlnm.Print_Area" localSheetId="18">'YR91-93'!$A$1:$F$56</definedName>
    <definedName name="_xlnm.Print_Area" localSheetId="26">'YR92'!$A$1:$F$59</definedName>
    <definedName name="_xlnm.Print_Area" localSheetId="25">'YR93'!$A$1:$F$59</definedName>
    <definedName name="_xlnm.Print_Area" localSheetId="24">'YR94'!$A$1:$F$59</definedName>
    <definedName name="_xlnm.Print_Area" localSheetId="17">'YR94-96'!$A$1:$F$58</definedName>
    <definedName name="_xlnm.Print_Area" localSheetId="23">'YR95'!$A$1:$F$59</definedName>
    <definedName name="_xlnm.Print_Area" localSheetId="22">'YR96'!$A$1:$G$62</definedName>
    <definedName name="_xlnm.Print_Area" localSheetId="21">'YR97'!$A$1:$F$60</definedName>
    <definedName name="_xlnm.Print_Area" localSheetId="16">'YR97-99'!$A$1:$F$51</definedName>
    <definedName name="_xlnm.Print_Area" localSheetId="20">'YR98'!$A$1:$F$61</definedName>
    <definedName name="_xlnm.Print_Area" localSheetId="19">'YR99'!$A$1:$F$59</definedName>
    <definedName name="_xlnm.Print_Titles" localSheetId="11">'YR91-02'!$1:$2</definedName>
    <definedName name="_xlnm.Print_Titles" localSheetId="2">'YR91-09'!$1:$1</definedName>
    <definedName name="wrn.English." localSheetId="15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4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3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2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0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3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7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1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8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6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4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7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3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6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french." localSheetId="15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4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3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2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0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3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7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1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8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6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4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7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3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6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Z_19F7D85D_823F_11D3_AB95_005004875B78_.wvu.PrintArea" localSheetId="15" hidden="1">'YR00-02'!$A$1:$F$56</definedName>
    <definedName name="Z_19F7D85D_823F_11D3_AB95_005004875B78_.wvu.PrintArea" localSheetId="14" hidden="1">'YR2000'!$A$1:$F$52</definedName>
    <definedName name="Z_19F7D85D_823F_11D3_AB95_005004875B78_.wvu.PrintArea" localSheetId="13" hidden="1">'YR2001'!$A$1:$F$53</definedName>
    <definedName name="Z_19F7D85D_823F_11D3_AB95_005004875B78_.wvu.PrintArea" localSheetId="12" hidden="1">'YR2002'!$A$1:$F$53</definedName>
    <definedName name="Z_19F7D85D_823F_11D3_AB95_005004875B78_.wvu.PrintArea" localSheetId="10" hidden="1">'YR2003'!$A$1:$F$53</definedName>
    <definedName name="Z_19F7D85D_823F_11D3_AB95_005004875B78_.wvu.PrintArea" localSheetId="18" hidden="1">'YR91-93'!$A$1:$F$59</definedName>
    <definedName name="Z_19F7D85D_823F_11D3_AB95_005004875B78_.wvu.PrintArea" localSheetId="17" hidden="1">'YR94-96'!$A$1:$F$60</definedName>
    <definedName name="Z_19F7D85D_823F_11D3_AB95_005004875B78_.wvu.PrintArea" localSheetId="16" hidden="1">'YR97-99'!$A$1:$F$57</definedName>
    <definedName name="Z_19F7D85D_823F_11D3_AB95_005004875B78_.wvu.PrintArea" localSheetId="19" hidden="1">'YR99'!$A$1:$F$61</definedName>
    <definedName name="Z_19F7D860_823F_11D3_AB95_005004875B78_.wvu.PrintArea" localSheetId="15" hidden="1">'YR00-02'!$A$1:$F$56</definedName>
    <definedName name="Z_19F7D860_823F_11D3_AB95_005004875B78_.wvu.PrintArea" localSheetId="14" hidden="1">'YR2000'!$A$1:$F$52</definedName>
    <definedName name="Z_19F7D860_823F_11D3_AB95_005004875B78_.wvu.PrintArea" localSheetId="13" hidden="1">'YR2001'!$A$1:$F$53</definedName>
    <definedName name="Z_19F7D860_823F_11D3_AB95_005004875B78_.wvu.PrintArea" localSheetId="12" hidden="1">'YR2002'!$A$1:$F$53</definedName>
    <definedName name="Z_19F7D860_823F_11D3_AB95_005004875B78_.wvu.PrintArea" localSheetId="10" hidden="1">'YR2003'!$A$1:$F$53</definedName>
    <definedName name="Z_19F7D860_823F_11D3_AB95_005004875B78_.wvu.PrintArea" localSheetId="18" hidden="1">'YR91-93'!$A$1:$F$59</definedName>
    <definedName name="Z_19F7D860_823F_11D3_AB95_005004875B78_.wvu.PrintArea" localSheetId="17" hidden="1">'YR94-96'!$A$1:$F$60</definedName>
    <definedName name="Z_19F7D860_823F_11D3_AB95_005004875B78_.wvu.PrintArea" localSheetId="16" hidden="1">'YR97-99'!$A$1:$F$57</definedName>
    <definedName name="Z_19F7D860_823F_11D3_AB95_005004875B78_.wvu.PrintArea" localSheetId="19" hidden="1">'YR99'!$A$1:$F$61</definedName>
    <definedName name="Z_19F7D867_823F_11D3_AB95_005004875B78_.wvu.PrintArea" localSheetId="15" hidden="1">'YR00-02'!$A$1:$F$56</definedName>
    <definedName name="Z_19F7D867_823F_11D3_AB95_005004875B78_.wvu.PrintArea" localSheetId="14" hidden="1">'YR2000'!$A$1:$F$52</definedName>
    <definedName name="Z_19F7D867_823F_11D3_AB95_005004875B78_.wvu.PrintArea" localSheetId="13" hidden="1">'YR2001'!$A$1:$F$53</definedName>
    <definedName name="Z_19F7D867_823F_11D3_AB95_005004875B78_.wvu.PrintArea" localSheetId="12" hidden="1">'YR2002'!$A$1:$F$53</definedName>
    <definedName name="Z_19F7D867_823F_11D3_AB95_005004875B78_.wvu.PrintArea" localSheetId="10" hidden="1">'YR2003'!$A$1:$F$53</definedName>
    <definedName name="Z_19F7D867_823F_11D3_AB95_005004875B78_.wvu.PrintArea" localSheetId="18" hidden="1">'YR91-93'!$A$1:$F$59</definedName>
    <definedName name="Z_19F7D867_823F_11D3_AB95_005004875B78_.wvu.PrintArea" localSheetId="17" hidden="1">'YR94-96'!$A$1:$F$60</definedName>
    <definedName name="Z_19F7D867_823F_11D3_AB95_005004875B78_.wvu.PrintArea" localSheetId="16" hidden="1">'YR97-99'!$A$1:$F$57</definedName>
    <definedName name="Z_19F7D867_823F_11D3_AB95_005004875B78_.wvu.PrintArea" localSheetId="19" hidden="1">'YR99'!$A$1:$F$61</definedName>
    <definedName name="Z_2484F616_920D_11D3_AB97_005004875B78_.wvu.PrintArea" localSheetId="15" hidden="1">'YR00-02'!$A$1:$F$57</definedName>
    <definedName name="Z_2484F616_920D_11D3_AB97_005004875B78_.wvu.PrintArea" localSheetId="14" hidden="1">'YR2000'!$A$1:$F$57</definedName>
    <definedName name="Z_2484F616_920D_11D3_AB97_005004875B78_.wvu.PrintArea" localSheetId="13" hidden="1">'YR2001'!$A$1:$F$57</definedName>
    <definedName name="Z_2484F616_920D_11D3_AB97_005004875B78_.wvu.PrintArea" localSheetId="12" hidden="1">'YR2002'!$A$1:$F$57</definedName>
    <definedName name="Z_2484F616_920D_11D3_AB97_005004875B78_.wvu.PrintArea" localSheetId="10" hidden="1">'YR2003'!$A$1:$F$57</definedName>
    <definedName name="Z_2484F616_920D_11D3_AB97_005004875B78_.wvu.PrintArea" localSheetId="18" hidden="1">'YR91-93'!$A$1:$F$63</definedName>
    <definedName name="Z_2484F616_920D_11D3_AB97_005004875B78_.wvu.PrintArea" localSheetId="17" hidden="1">'YR94-96'!$A$1:$F$61</definedName>
    <definedName name="Z_2484F616_920D_11D3_AB97_005004875B78_.wvu.PrintArea" localSheetId="16" hidden="1">'YR97-99'!$A$1:$F$58</definedName>
    <definedName name="Z_2484F616_920D_11D3_AB97_005004875B78_.wvu.PrintArea" localSheetId="19" hidden="1">'YR99'!$A$1:$F$66</definedName>
    <definedName name="Z_2484F616_920D_11D3_AB97_005004875B78_.wvu.Rows" localSheetId="15" hidden="1">'YR00-02'!$4:$57</definedName>
    <definedName name="Z_2484F616_920D_11D3_AB97_005004875B78_.wvu.Rows" localSheetId="14" hidden="1">'YR2000'!$4:$57</definedName>
    <definedName name="Z_2484F616_920D_11D3_AB97_005004875B78_.wvu.Rows" localSheetId="13" hidden="1">'YR2001'!$4:$57</definedName>
    <definedName name="Z_2484F616_920D_11D3_AB97_005004875B78_.wvu.Rows" localSheetId="12" hidden="1">'YR2002'!$4:$57</definedName>
    <definedName name="Z_2484F616_920D_11D3_AB97_005004875B78_.wvu.Rows" localSheetId="10" hidden="1">'YR2003'!$4:$57</definedName>
    <definedName name="Z_2484F616_920D_11D3_AB97_005004875B78_.wvu.Rows" localSheetId="18" hidden="1">'YR91-93'!$4:$63</definedName>
    <definedName name="Z_2484F616_920D_11D3_AB97_005004875B78_.wvu.Rows" localSheetId="17" hidden="1">'YR94-96'!$4:$61</definedName>
    <definedName name="Z_2484F616_920D_11D3_AB97_005004875B78_.wvu.Rows" localSheetId="16" hidden="1">'YR97-99'!$4:$58</definedName>
    <definedName name="Z_2484F616_920D_11D3_AB97_005004875B78_.wvu.Rows" localSheetId="19" hidden="1">'YR99'!$4:$66</definedName>
    <definedName name="Z_283F8DB6_DD0E_11D2_9540_0020AFA10A30_.wvu.PrintArea" localSheetId="15" hidden="1">'YR00-02'!$A$4:$F$56</definedName>
    <definedName name="Z_283F8DB6_DD0E_11D2_9540_0020AFA10A30_.wvu.PrintArea" localSheetId="14" hidden="1">'YR2000'!$A$4:$F$52</definedName>
    <definedName name="Z_283F8DB6_DD0E_11D2_9540_0020AFA10A30_.wvu.PrintArea" localSheetId="13" hidden="1">'YR2001'!$A$4:$F$53</definedName>
    <definedName name="Z_283F8DB6_DD0E_11D2_9540_0020AFA10A30_.wvu.PrintArea" localSheetId="12" hidden="1">'YR2002'!$A$4:$F$53</definedName>
    <definedName name="Z_283F8DB6_DD0E_11D2_9540_0020AFA10A30_.wvu.PrintArea" localSheetId="10" hidden="1">'YR2003'!$A$4:$F$53</definedName>
    <definedName name="Z_283F8DB6_DD0E_11D2_9540_0020AFA10A30_.wvu.PrintArea" localSheetId="18" hidden="1">'YR91-93'!$A$4:$F$59</definedName>
    <definedName name="Z_283F8DB6_DD0E_11D2_9540_0020AFA10A30_.wvu.PrintArea" localSheetId="17" hidden="1">'YR94-96'!$A$4:$F$60</definedName>
    <definedName name="Z_283F8DB6_DD0E_11D2_9540_0020AFA10A30_.wvu.PrintArea" localSheetId="21" hidden="1">'YR97'!$A$4:$F$62</definedName>
    <definedName name="Z_283F8DB6_DD0E_11D2_9540_0020AFA10A30_.wvu.PrintArea" localSheetId="16" hidden="1">'YR97-99'!$A$4:$F$57</definedName>
    <definedName name="Z_283F8DB6_DD0E_11D2_9540_0020AFA10A30_.wvu.PrintArea" localSheetId="19" hidden="1">'YR99'!$A$4:$F$61</definedName>
    <definedName name="Z_283F8DB7_DD0E_11D2_9540_0020AFA10A30_.wvu.PrintArea" localSheetId="15" hidden="1">'YR00-02'!$A$4:$F$56</definedName>
    <definedName name="Z_283F8DB7_DD0E_11D2_9540_0020AFA10A30_.wvu.PrintArea" localSheetId="14" hidden="1">'YR2000'!$A$4:$F$52</definedName>
    <definedName name="Z_283F8DB7_DD0E_11D2_9540_0020AFA10A30_.wvu.PrintArea" localSheetId="13" hidden="1">'YR2001'!$A$4:$F$53</definedName>
    <definedName name="Z_283F8DB7_DD0E_11D2_9540_0020AFA10A30_.wvu.PrintArea" localSheetId="12" hidden="1">'YR2002'!$A$4:$F$53</definedName>
    <definedName name="Z_283F8DB7_DD0E_11D2_9540_0020AFA10A30_.wvu.PrintArea" localSheetId="10" hidden="1">'YR2003'!$A$4:$F$53</definedName>
    <definedName name="Z_283F8DB7_DD0E_11D2_9540_0020AFA10A30_.wvu.PrintArea" localSheetId="18" hidden="1">'YR91-93'!$A$4:$F$59</definedName>
    <definedName name="Z_283F8DB7_DD0E_11D2_9540_0020AFA10A30_.wvu.PrintArea" localSheetId="17" hidden="1">'YR94-96'!$A$4:$F$60</definedName>
    <definedName name="Z_283F8DB7_DD0E_11D2_9540_0020AFA10A30_.wvu.PrintArea" localSheetId="21" hidden="1">'YR97'!$A$4:$F$62</definedName>
    <definedName name="Z_283F8DB7_DD0E_11D2_9540_0020AFA10A30_.wvu.PrintArea" localSheetId="16" hidden="1">'YR97-99'!$A$4:$F$57</definedName>
    <definedName name="Z_283F8DB7_DD0E_11D2_9540_0020AFA10A30_.wvu.PrintArea" localSheetId="19" hidden="1">'YR99'!$A$4:$F$61</definedName>
    <definedName name="Z_283F8DB8_DD0E_11D2_9540_0020AFA10A30_.wvu.PrintArea" localSheetId="15" hidden="1">'YR00-02'!$A$4:$F$56</definedName>
    <definedName name="Z_283F8DB8_DD0E_11D2_9540_0020AFA10A30_.wvu.PrintArea" localSheetId="14" hidden="1">'YR2000'!$A$4:$F$52</definedName>
    <definedName name="Z_283F8DB8_DD0E_11D2_9540_0020AFA10A30_.wvu.PrintArea" localSheetId="13" hidden="1">'YR2001'!$A$4:$F$53</definedName>
    <definedName name="Z_283F8DB8_DD0E_11D2_9540_0020AFA10A30_.wvu.PrintArea" localSheetId="12" hidden="1">'YR2002'!$A$4:$F$53</definedName>
    <definedName name="Z_283F8DB8_DD0E_11D2_9540_0020AFA10A30_.wvu.PrintArea" localSheetId="10" hidden="1">'YR2003'!$A$4:$F$53</definedName>
    <definedName name="Z_283F8DB8_DD0E_11D2_9540_0020AFA10A30_.wvu.PrintArea" localSheetId="18" hidden="1">'YR91-93'!$A$4:$F$59</definedName>
    <definedName name="Z_283F8DB8_DD0E_11D2_9540_0020AFA10A30_.wvu.PrintArea" localSheetId="17" hidden="1">'YR94-96'!$A$4:$F$60</definedName>
    <definedName name="Z_283F8DB8_DD0E_11D2_9540_0020AFA10A30_.wvu.PrintArea" localSheetId="21" hidden="1">'YR97'!$A$4:$F$62</definedName>
    <definedName name="Z_283F8DB8_DD0E_11D2_9540_0020AFA10A30_.wvu.PrintArea" localSheetId="16" hidden="1">'YR97-99'!$A$4:$F$57</definedName>
    <definedName name="Z_283F8DB8_DD0E_11D2_9540_0020AFA10A30_.wvu.PrintArea" localSheetId="19" hidden="1">'YR99'!$A$4:$F$61</definedName>
    <definedName name="Z_283F8DB9_DD0E_11D2_9540_0020AFA10A30_.wvu.PrintArea" localSheetId="15" hidden="1">'YR00-02'!$A$4:$F$56</definedName>
    <definedName name="Z_283F8DB9_DD0E_11D2_9540_0020AFA10A30_.wvu.PrintArea" localSheetId="14" hidden="1">'YR2000'!$A$4:$F$52</definedName>
    <definedName name="Z_283F8DB9_DD0E_11D2_9540_0020AFA10A30_.wvu.PrintArea" localSheetId="13" hidden="1">'YR2001'!$A$4:$F$53</definedName>
    <definedName name="Z_283F8DB9_DD0E_11D2_9540_0020AFA10A30_.wvu.PrintArea" localSheetId="12" hidden="1">'YR2002'!$A$4:$F$53</definedName>
    <definedName name="Z_283F8DB9_DD0E_11D2_9540_0020AFA10A30_.wvu.PrintArea" localSheetId="10" hidden="1">'YR2003'!$A$4:$F$53</definedName>
    <definedName name="Z_283F8DB9_DD0E_11D2_9540_0020AFA10A30_.wvu.PrintArea" localSheetId="18" hidden="1">'YR91-93'!$A$4:$F$59</definedName>
    <definedName name="Z_283F8DB9_DD0E_11D2_9540_0020AFA10A30_.wvu.PrintArea" localSheetId="17" hidden="1">'YR94-96'!$A$4:$F$60</definedName>
    <definedName name="Z_283F8DB9_DD0E_11D2_9540_0020AFA10A30_.wvu.PrintArea" localSheetId="21" hidden="1">'YR97'!$A$4:$F$62</definedName>
    <definedName name="Z_283F8DB9_DD0E_11D2_9540_0020AFA10A30_.wvu.PrintArea" localSheetId="16" hidden="1">'YR97-99'!$A$4:$F$57</definedName>
    <definedName name="Z_283F8DB9_DD0E_11D2_9540_0020AFA10A30_.wvu.PrintArea" localSheetId="19" hidden="1">'YR99'!$A$4:$F$61</definedName>
    <definedName name="Z_283F8DBA_DD0E_11D2_9540_0020AFA10A30_.wvu.PrintArea" localSheetId="15" hidden="1">'YR00-02'!$A$1:$F$56</definedName>
    <definedName name="Z_283F8DBA_DD0E_11D2_9540_0020AFA10A30_.wvu.PrintArea" localSheetId="14" hidden="1">'YR2000'!$A$1:$F$52</definedName>
    <definedName name="Z_283F8DBA_DD0E_11D2_9540_0020AFA10A30_.wvu.PrintArea" localSheetId="13" hidden="1">'YR2001'!$A$1:$F$53</definedName>
    <definedName name="Z_283F8DBA_DD0E_11D2_9540_0020AFA10A30_.wvu.PrintArea" localSheetId="12" hidden="1">'YR2002'!$A$1:$F$53</definedName>
    <definedName name="Z_283F8DBA_DD0E_11D2_9540_0020AFA10A30_.wvu.PrintArea" localSheetId="10" hidden="1">'YR2003'!$A$1:$F$53</definedName>
    <definedName name="Z_283F8DBA_DD0E_11D2_9540_0020AFA10A30_.wvu.PrintArea" localSheetId="18" hidden="1">'YR91-93'!$A$1:$F$59</definedName>
    <definedName name="Z_283F8DBA_DD0E_11D2_9540_0020AFA10A30_.wvu.PrintArea" localSheetId="17" hidden="1">'YR94-96'!$A$1:$F$60</definedName>
    <definedName name="Z_283F8DBA_DD0E_11D2_9540_0020AFA10A30_.wvu.PrintArea" localSheetId="21" hidden="1">'YR97'!$A$1:$F$62</definedName>
    <definedName name="Z_283F8DBA_DD0E_11D2_9540_0020AFA10A30_.wvu.PrintArea" localSheetId="16" hidden="1">'YR97-99'!$A$1:$F$57</definedName>
    <definedName name="Z_283F8DBA_DD0E_11D2_9540_0020AFA10A30_.wvu.PrintArea" localSheetId="19" hidden="1">'YR99'!$A$1:$F$61</definedName>
    <definedName name="Z_347FE335_DD34_11D2_9540_0020AFA10A30_.wvu.Cols" localSheetId="15" hidden="1">'YR00-02'!$G:$IV</definedName>
    <definedName name="Z_347FE335_DD34_11D2_9540_0020AFA10A30_.wvu.Cols" localSheetId="14" hidden="1">'YR2000'!#REF!</definedName>
    <definedName name="Z_347FE335_DD34_11D2_9540_0020AFA10A30_.wvu.Cols" localSheetId="13" hidden="1">'YR2001'!#REF!</definedName>
    <definedName name="Z_347FE335_DD34_11D2_9540_0020AFA10A30_.wvu.Cols" localSheetId="12" hidden="1">'YR2002'!#REF!</definedName>
    <definedName name="Z_347FE335_DD34_11D2_9540_0020AFA10A30_.wvu.Cols" localSheetId="10" hidden="1">'YR2003'!#REF!</definedName>
    <definedName name="Z_347FE335_DD34_11D2_9540_0020AFA10A30_.wvu.Cols" localSheetId="18" hidden="1">'YR91-93'!#REF!</definedName>
    <definedName name="Z_347FE335_DD34_11D2_9540_0020AFA10A30_.wvu.Cols" localSheetId="17" hidden="1">'YR94-96'!#REF!</definedName>
    <definedName name="Z_347FE335_DD34_11D2_9540_0020AFA10A30_.wvu.Cols" localSheetId="21" hidden="1">'YR97'!#REF!</definedName>
    <definedName name="Z_347FE335_DD34_11D2_9540_0020AFA10A30_.wvu.Cols" localSheetId="16" hidden="1">'YR97-99'!$G:$IV</definedName>
    <definedName name="Z_347FE335_DD34_11D2_9540_0020AFA10A30_.wvu.Cols" localSheetId="19" hidden="1">'YR99'!#REF!</definedName>
    <definedName name="Z_347FE335_DD34_11D2_9540_0020AFA10A30_.wvu.PrintArea" localSheetId="15" hidden="1">'YR00-02'!$A$1:$F$56</definedName>
    <definedName name="Z_347FE335_DD34_11D2_9540_0020AFA10A30_.wvu.PrintArea" localSheetId="14" hidden="1">'YR2000'!$A$1:$F$52</definedName>
    <definedName name="Z_347FE335_DD34_11D2_9540_0020AFA10A30_.wvu.PrintArea" localSheetId="13" hidden="1">'YR2001'!$A$1:$F$53</definedName>
    <definedName name="Z_347FE335_DD34_11D2_9540_0020AFA10A30_.wvu.PrintArea" localSheetId="12" hidden="1">'YR2002'!$A$1:$F$53</definedName>
    <definedName name="Z_347FE335_DD34_11D2_9540_0020AFA10A30_.wvu.PrintArea" localSheetId="10" hidden="1">'YR2003'!$A$1:$F$53</definedName>
    <definedName name="Z_347FE335_DD34_11D2_9540_0020AFA10A30_.wvu.PrintArea" localSheetId="18" hidden="1">'YR91-93'!$A$1:$F$59</definedName>
    <definedName name="Z_347FE335_DD34_11D2_9540_0020AFA10A30_.wvu.PrintArea" localSheetId="17" hidden="1">'YR94-96'!$A$1:$F$60</definedName>
    <definedName name="Z_347FE335_DD34_11D2_9540_0020AFA10A30_.wvu.PrintArea" localSheetId="21" hidden="1">'YR97'!$A$1:$F$62</definedName>
    <definedName name="Z_347FE335_DD34_11D2_9540_0020AFA10A30_.wvu.PrintArea" localSheetId="16" hidden="1">'YR97-99'!$A$1:$F$57</definedName>
    <definedName name="Z_347FE335_DD34_11D2_9540_0020AFA10A30_.wvu.PrintArea" localSheetId="19" hidden="1">'YR99'!$A$1:$F$61</definedName>
    <definedName name="Z_4163CAAB_853B_11D3_AB95_005004875B78_.wvu.PrintArea" localSheetId="1" hidden="1">'statistics'!$A$1:$K$33</definedName>
    <definedName name="Z_4163CAAB_853B_11D3_AB95_005004875B78_.wvu.PrintArea" localSheetId="0" hidden="1">'status'!$A$1:$C$1</definedName>
    <definedName name="Z_4163CAAB_853B_11D3_AB95_005004875B78_.wvu.PrintArea" localSheetId="15" hidden="1">'YR00-02'!$A$1:$F$57</definedName>
    <definedName name="Z_4163CAAB_853B_11D3_AB95_005004875B78_.wvu.PrintArea" localSheetId="14" hidden="1">'YR2000'!$A$1:$F$57</definedName>
    <definedName name="Z_4163CAAB_853B_11D3_AB95_005004875B78_.wvu.PrintArea" localSheetId="13" hidden="1">'YR2001'!$A$1:$F$57</definedName>
    <definedName name="Z_4163CAAB_853B_11D3_AB95_005004875B78_.wvu.PrintArea" localSheetId="12" hidden="1">'YR2002'!$A$1:$F$57</definedName>
    <definedName name="Z_4163CAAB_853B_11D3_AB95_005004875B78_.wvu.PrintArea" localSheetId="10" hidden="1">'YR2003'!$A$1:$F$57</definedName>
    <definedName name="Z_4163CAAB_853B_11D3_AB95_005004875B78_.wvu.PrintArea" localSheetId="11" hidden="1">'YR91-02'!$A$1:$F$54</definedName>
    <definedName name="Z_4163CAAB_853B_11D3_AB95_005004875B78_.wvu.PrintArea" localSheetId="2" hidden="1">'YR91-09'!$A$1:$F$64</definedName>
    <definedName name="Z_4163CAAB_853B_11D3_AB95_005004875B78_.wvu.PrintArea" localSheetId="18" hidden="1">'YR91-93'!$A$1:$F$63</definedName>
    <definedName name="Z_4163CAAB_853B_11D3_AB95_005004875B78_.wvu.PrintArea" localSheetId="17" hidden="1">'YR94-96'!$A$1:$F$61</definedName>
    <definedName name="Z_4163CAAB_853B_11D3_AB95_005004875B78_.wvu.PrintArea" localSheetId="21" hidden="1">'YR97'!$A$1:$F$66</definedName>
    <definedName name="Z_4163CAAB_853B_11D3_AB95_005004875B78_.wvu.PrintArea" localSheetId="16" hidden="1">'YR97-99'!$A$1:$F$58</definedName>
    <definedName name="Z_4163CAAB_853B_11D3_AB95_005004875B78_.wvu.PrintArea" localSheetId="20" hidden="1">'YR98'!$A$1:$F$61</definedName>
    <definedName name="Z_4163CAAB_853B_11D3_AB95_005004875B78_.wvu.PrintArea" localSheetId="19" hidden="1">'YR99'!$A$1:$F$66</definedName>
    <definedName name="Z_4163CAAB_853B_11D3_AB95_005004875B78_.wvu.Rows" localSheetId="15" hidden="1">'YR00-02'!$4:$57</definedName>
    <definedName name="Z_4163CAAB_853B_11D3_AB95_005004875B78_.wvu.Rows" localSheetId="14" hidden="1">'YR2000'!$4:$57</definedName>
    <definedName name="Z_4163CAAB_853B_11D3_AB95_005004875B78_.wvu.Rows" localSheetId="13" hidden="1">'YR2001'!$4:$57</definedName>
    <definedName name="Z_4163CAAB_853B_11D3_AB95_005004875B78_.wvu.Rows" localSheetId="12" hidden="1">'YR2002'!$4:$57</definedName>
    <definedName name="Z_4163CAAB_853B_11D3_AB95_005004875B78_.wvu.Rows" localSheetId="10" hidden="1">'YR2003'!$4:$57</definedName>
    <definedName name="Z_4163CAAB_853B_11D3_AB95_005004875B78_.wvu.Rows" localSheetId="18" hidden="1">'YR91-93'!$4:$63</definedName>
    <definedName name="Z_4163CAAB_853B_11D3_AB95_005004875B78_.wvu.Rows" localSheetId="17" hidden="1">'YR94-96'!$4:$61</definedName>
    <definedName name="Z_4163CAAB_853B_11D3_AB95_005004875B78_.wvu.Rows" localSheetId="21" hidden="1">'YR97'!$4:$66</definedName>
    <definedName name="Z_4163CAAB_853B_11D3_AB95_005004875B78_.wvu.Rows" localSheetId="16" hidden="1">'YR97-99'!$4:$58</definedName>
    <definedName name="Z_4163CAAB_853B_11D3_AB95_005004875B78_.wvu.Rows" localSheetId="19" hidden="1">'YR99'!$4:$66</definedName>
    <definedName name="Z_4BCCC1D9_FCC6_11D2_A407_0020AFA10A34_.wvu.PrintArea" localSheetId="15" hidden="1">'YR00-02'!$A$1:$F$57</definedName>
    <definedName name="Z_4BCCC1D9_FCC6_11D2_A407_0020AFA10A34_.wvu.PrintArea" localSheetId="14" hidden="1">'YR2000'!$A$1:$F$57</definedName>
    <definedName name="Z_4BCCC1D9_FCC6_11D2_A407_0020AFA10A34_.wvu.PrintArea" localSheetId="13" hidden="1">'YR2001'!$A$1:$F$57</definedName>
    <definedName name="Z_4BCCC1D9_FCC6_11D2_A407_0020AFA10A34_.wvu.PrintArea" localSheetId="12" hidden="1">'YR2002'!$A$1:$F$57</definedName>
    <definedName name="Z_4BCCC1D9_FCC6_11D2_A407_0020AFA10A34_.wvu.PrintArea" localSheetId="10" hidden="1">'YR2003'!$A$1:$F$57</definedName>
    <definedName name="Z_4BCCC1D9_FCC6_11D2_A407_0020AFA10A34_.wvu.PrintArea" localSheetId="18" hidden="1">'YR91-93'!$A$1:$F$63</definedName>
    <definedName name="Z_4BCCC1D9_FCC6_11D2_A407_0020AFA10A34_.wvu.PrintArea" localSheetId="17" hidden="1">'YR94-96'!$A$1:$F$61</definedName>
    <definedName name="Z_4BCCC1D9_FCC6_11D2_A407_0020AFA10A34_.wvu.PrintArea" localSheetId="21" hidden="1">'YR97'!$A$1:$F$66</definedName>
    <definedName name="Z_4BCCC1D9_FCC6_11D2_A407_0020AFA10A34_.wvu.PrintArea" localSheetId="16" hidden="1">'YR97-99'!$A$1:$F$58</definedName>
    <definedName name="Z_4BCCC1D9_FCC6_11D2_A407_0020AFA10A34_.wvu.PrintArea" localSheetId="19" hidden="1">'YR99'!$A$1:$F$66</definedName>
    <definedName name="Z_4BCCC1D9_FCC6_11D2_A407_0020AFA10A34_.wvu.Rows" localSheetId="15" hidden="1">'YR00-02'!$4:$57</definedName>
    <definedName name="Z_4BCCC1D9_FCC6_11D2_A407_0020AFA10A34_.wvu.Rows" localSheetId="14" hidden="1">'YR2000'!$4:$57</definedName>
    <definedName name="Z_4BCCC1D9_FCC6_11D2_A407_0020AFA10A34_.wvu.Rows" localSheetId="13" hidden="1">'YR2001'!$4:$57</definedName>
    <definedName name="Z_4BCCC1D9_FCC6_11D2_A407_0020AFA10A34_.wvu.Rows" localSheetId="12" hidden="1">'YR2002'!$4:$57</definedName>
    <definedName name="Z_4BCCC1D9_FCC6_11D2_A407_0020AFA10A34_.wvu.Rows" localSheetId="10" hidden="1">'YR2003'!$4:$57</definedName>
    <definedName name="Z_4BCCC1D9_FCC6_11D2_A407_0020AFA10A34_.wvu.Rows" localSheetId="18" hidden="1">'YR91-93'!$4:$63</definedName>
    <definedName name="Z_4BCCC1D9_FCC6_11D2_A407_0020AFA10A34_.wvu.Rows" localSheetId="17" hidden="1">'YR94-96'!$4:$61</definedName>
    <definedName name="Z_4BCCC1D9_FCC6_11D2_A407_0020AFA10A34_.wvu.Rows" localSheetId="21" hidden="1">'YR97'!$4:$66</definedName>
    <definedName name="Z_4BCCC1D9_FCC6_11D2_A407_0020AFA10A34_.wvu.Rows" localSheetId="16" hidden="1">'YR97-99'!$4:$58</definedName>
    <definedName name="Z_4BCCC1D9_FCC6_11D2_A407_0020AFA10A34_.wvu.Rows" localSheetId="19" hidden="1">'YR99'!$4:$66</definedName>
    <definedName name="Z_4BCCC1DC_FCC6_11D2_A407_0020AFA10A34_.wvu.PrintArea" localSheetId="15" hidden="1">'YR00-02'!$A$1:$F$56</definedName>
    <definedName name="Z_4BCCC1DC_FCC6_11D2_A407_0020AFA10A34_.wvu.PrintArea" localSheetId="14" hidden="1">'YR2000'!$A$1:$F$52</definedName>
    <definedName name="Z_4BCCC1DC_FCC6_11D2_A407_0020AFA10A34_.wvu.PrintArea" localSheetId="13" hidden="1">'YR2001'!$A$1:$F$53</definedName>
    <definedName name="Z_4BCCC1DC_FCC6_11D2_A407_0020AFA10A34_.wvu.PrintArea" localSheetId="12" hidden="1">'YR2002'!$A$1:$F$53</definedName>
    <definedName name="Z_4BCCC1DC_FCC6_11D2_A407_0020AFA10A34_.wvu.PrintArea" localSheetId="10" hidden="1">'YR2003'!$A$1:$F$53</definedName>
    <definedName name="Z_4BCCC1DC_FCC6_11D2_A407_0020AFA10A34_.wvu.PrintArea" localSheetId="18" hidden="1">'YR91-93'!$A$1:$F$59</definedName>
    <definedName name="Z_4BCCC1DC_FCC6_11D2_A407_0020AFA10A34_.wvu.PrintArea" localSheetId="17" hidden="1">'YR94-96'!$A$1:$F$60</definedName>
    <definedName name="Z_4BCCC1DC_FCC6_11D2_A407_0020AFA10A34_.wvu.PrintArea" localSheetId="21" hidden="1">'YR97'!$A$1:$F$62</definedName>
    <definedName name="Z_4BCCC1DC_FCC6_11D2_A407_0020AFA10A34_.wvu.PrintArea" localSheetId="16" hidden="1">'YR97-99'!$A$1:$F$57</definedName>
    <definedName name="Z_4BCCC1DC_FCC6_11D2_A407_0020AFA10A34_.wvu.PrintArea" localSheetId="19" hidden="1">'YR99'!$A$1:$F$61</definedName>
    <definedName name="Z_4BCCC1DC_FCC6_11D2_A407_0020AFA10A34_.wvu.Rows" localSheetId="15" hidden="1">'YR00-02'!$4:$57</definedName>
    <definedName name="Z_4BCCC1DC_FCC6_11D2_A407_0020AFA10A34_.wvu.Rows" localSheetId="14" hidden="1">'YR2000'!$4:$57</definedName>
    <definedName name="Z_4BCCC1DC_FCC6_11D2_A407_0020AFA10A34_.wvu.Rows" localSheetId="13" hidden="1">'YR2001'!$4:$57</definedName>
    <definedName name="Z_4BCCC1DC_FCC6_11D2_A407_0020AFA10A34_.wvu.Rows" localSheetId="12" hidden="1">'YR2002'!$4:$57</definedName>
    <definedName name="Z_4BCCC1DC_FCC6_11D2_A407_0020AFA10A34_.wvu.Rows" localSheetId="10" hidden="1">'YR2003'!$4:$57</definedName>
    <definedName name="Z_4BCCC1DC_FCC6_11D2_A407_0020AFA10A34_.wvu.Rows" localSheetId="18" hidden="1">'YR91-93'!$4:$63</definedName>
    <definedName name="Z_4BCCC1DC_FCC6_11D2_A407_0020AFA10A34_.wvu.Rows" localSheetId="17" hidden="1">'YR94-96'!$4:$61</definedName>
    <definedName name="Z_4BCCC1DC_FCC6_11D2_A407_0020AFA10A34_.wvu.Rows" localSheetId="21" hidden="1">'YR97'!$4:$66</definedName>
    <definedName name="Z_4BCCC1DC_FCC6_11D2_A407_0020AFA10A34_.wvu.Rows" localSheetId="16" hidden="1">'YR97-99'!$4:$58</definedName>
    <definedName name="Z_4BCCC1DC_FCC6_11D2_A407_0020AFA10A34_.wvu.Rows" localSheetId="19" hidden="1">'YR99'!$4:$66</definedName>
    <definedName name="Z_4BCCC1DD_FCC6_11D2_A407_0020AFA10A34_.wvu.PrintArea" localSheetId="15" hidden="1">'YR00-02'!$A$1:$F$56</definedName>
    <definedName name="Z_4BCCC1DD_FCC6_11D2_A407_0020AFA10A34_.wvu.PrintArea" localSheetId="14" hidden="1">'YR2000'!$A$1:$F$52</definedName>
    <definedName name="Z_4BCCC1DD_FCC6_11D2_A407_0020AFA10A34_.wvu.PrintArea" localSheetId="13" hidden="1">'YR2001'!$A$1:$F$53</definedName>
    <definedName name="Z_4BCCC1DD_FCC6_11D2_A407_0020AFA10A34_.wvu.PrintArea" localSheetId="12" hidden="1">'YR2002'!$A$1:$F$53</definedName>
    <definedName name="Z_4BCCC1DD_FCC6_11D2_A407_0020AFA10A34_.wvu.PrintArea" localSheetId="10" hidden="1">'YR2003'!$A$1:$F$53</definedName>
    <definedName name="Z_4BCCC1DD_FCC6_11D2_A407_0020AFA10A34_.wvu.PrintArea" localSheetId="18" hidden="1">'YR91-93'!$A$1:$F$59</definedName>
    <definedName name="Z_4BCCC1DD_FCC6_11D2_A407_0020AFA10A34_.wvu.PrintArea" localSheetId="17" hidden="1">'YR94-96'!$A$1:$F$60</definedName>
    <definedName name="Z_4BCCC1DD_FCC6_11D2_A407_0020AFA10A34_.wvu.PrintArea" localSheetId="21" hidden="1">'YR97'!$A$1:$F$62</definedName>
    <definedName name="Z_4BCCC1DD_FCC6_11D2_A407_0020AFA10A34_.wvu.PrintArea" localSheetId="16" hidden="1">'YR97-99'!$A$1:$F$57</definedName>
    <definedName name="Z_4BCCC1DD_FCC6_11D2_A407_0020AFA10A34_.wvu.PrintArea" localSheetId="19" hidden="1">'YR99'!$A$1:$F$61</definedName>
    <definedName name="Z_4BCCC1DD_FCC6_11D2_A407_0020AFA10A34_.wvu.Rows" localSheetId="15" hidden="1">'YR00-02'!$4:$57</definedName>
    <definedName name="Z_4BCCC1DD_FCC6_11D2_A407_0020AFA10A34_.wvu.Rows" localSheetId="14" hidden="1">'YR2000'!$4:$57</definedName>
    <definedName name="Z_4BCCC1DD_FCC6_11D2_A407_0020AFA10A34_.wvu.Rows" localSheetId="13" hidden="1">'YR2001'!$4:$57</definedName>
    <definedName name="Z_4BCCC1DD_FCC6_11D2_A407_0020AFA10A34_.wvu.Rows" localSheetId="12" hidden="1">'YR2002'!$4:$57</definedName>
    <definedName name="Z_4BCCC1DD_FCC6_11D2_A407_0020AFA10A34_.wvu.Rows" localSheetId="10" hidden="1">'YR2003'!$4:$57</definedName>
    <definedName name="Z_4BCCC1DD_FCC6_11D2_A407_0020AFA10A34_.wvu.Rows" localSheetId="18" hidden="1">'YR91-93'!$4:$63</definedName>
    <definedName name="Z_4BCCC1DD_FCC6_11D2_A407_0020AFA10A34_.wvu.Rows" localSheetId="17" hidden="1">'YR94-96'!$4:$61</definedName>
    <definedName name="Z_4BCCC1DD_FCC6_11D2_A407_0020AFA10A34_.wvu.Rows" localSheetId="21" hidden="1">'YR97'!$4:$66</definedName>
    <definedName name="Z_4BCCC1DD_FCC6_11D2_A407_0020AFA10A34_.wvu.Rows" localSheetId="16" hidden="1">'YR97-99'!$4:$58</definedName>
    <definedName name="Z_4BCCC1DD_FCC6_11D2_A407_0020AFA10A34_.wvu.Rows" localSheetId="19" hidden="1">'YR99'!$4:$66</definedName>
    <definedName name="Z_4BCCC1E4_FCC6_11D2_A407_0020AFA10A34_.wvu.PrintArea" localSheetId="15" hidden="1">'YR00-02'!$A$1:$F$56</definedName>
    <definedName name="Z_4BCCC1E4_FCC6_11D2_A407_0020AFA10A34_.wvu.PrintArea" localSheetId="14" hidden="1">'YR2000'!$A$1:$F$52</definedName>
    <definedName name="Z_4BCCC1E4_FCC6_11D2_A407_0020AFA10A34_.wvu.PrintArea" localSheetId="13" hidden="1">'YR2001'!$A$1:$F$53</definedName>
    <definedName name="Z_4BCCC1E4_FCC6_11D2_A407_0020AFA10A34_.wvu.PrintArea" localSheetId="12" hidden="1">'YR2002'!$A$1:$F$53</definedName>
    <definedName name="Z_4BCCC1E4_FCC6_11D2_A407_0020AFA10A34_.wvu.PrintArea" localSheetId="10" hidden="1">'YR2003'!$A$1:$F$53</definedName>
    <definedName name="Z_4BCCC1E4_FCC6_11D2_A407_0020AFA10A34_.wvu.PrintArea" localSheetId="18" hidden="1">'YR91-93'!$A$1:$F$59</definedName>
    <definedName name="Z_4BCCC1E4_FCC6_11D2_A407_0020AFA10A34_.wvu.PrintArea" localSheetId="17" hidden="1">'YR94-96'!$A$1:$F$60</definedName>
    <definedName name="Z_4BCCC1E4_FCC6_11D2_A407_0020AFA10A34_.wvu.PrintArea" localSheetId="21" hidden="1">'YR97'!$A$1:$F$62</definedName>
    <definedName name="Z_4BCCC1E4_FCC6_11D2_A407_0020AFA10A34_.wvu.PrintArea" localSheetId="16" hidden="1">'YR97-99'!$A$1:$F$57</definedName>
    <definedName name="Z_4BCCC1E4_FCC6_11D2_A407_0020AFA10A34_.wvu.PrintArea" localSheetId="19" hidden="1">'YR99'!$A$1:$F$61</definedName>
    <definedName name="Z_4BCCC1E4_FCC6_11D2_A407_0020AFA10A34_.wvu.Rows" localSheetId="15" hidden="1">'YR00-02'!$4:$57</definedName>
    <definedName name="Z_4BCCC1E4_FCC6_11D2_A407_0020AFA10A34_.wvu.Rows" localSheetId="14" hidden="1">'YR2000'!$4:$57</definedName>
    <definedName name="Z_4BCCC1E4_FCC6_11D2_A407_0020AFA10A34_.wvu.Rows" localSheetId="13" hidden="1">'YR2001'!$4:$57</definedName>
    <definedName name="Z_4BCCC1E4_FCC6_11D2_A407_0020AFA10A34_.wvu.Rows" localSheetId="12" hidden="1">'YR2002'!$4:$57</definedName>
    <definedName name="Z_4BCCC1E4_FCC6_11D2_A407_0020AFA10A34_.wvu.Rows" localSheetId="10" hidden="1">'YR2003'!$4:$57</definedName>
    <definedName name="Z_4BCCC1E4_FCC6_11D2_A407_0020AFA10A34_.wvu.Rows" localSheetId="18" hidden="1">'YR91-93'!$4:$63</definedName>
    <definedName name="Z_4BCCC1E4_FCC6_11D2_A407_0020AFA10A34_.wvu.Rows" localSheetId="17" hidden="1">'YR94-96'!$4:$61</definedName>
    <definedName name="Z_4BCCC1E4_FCC6_11D2_A407_0020AFA10A34_.wvu.Rows" localSheetId="21" hidden="1">'YR97'!$4:$66</definedName>
    <definedName name="Z_4BCCC1E4_FCC6_11D2_A407_0020AFA10A34_.wvu.Rows" localSheetId="16" hidden="1">'YR97-99'!$4:$58</definedName>
    <definedName name="Z_4BCCC1E4_FCC6_11D2_A407_0020AFA10A34_.wvu.Rows" localSheetId="19" hidden="1">'YR99'!$4:$66</definedName>
    <definedName name="Z_4BCCC1E5_FCC6_11D2_A407_0020AFA10A34_.wvu.PrintArea" localSheetId="15" hidden="1">'YR00-02'!$A$1:$F$56</definedName>
    <definedName name="Z_4BCCC1E5_FCC6_11D2_A407_0020AFA10A34_.wvu.PrintArea" localSheetId="14" hidden="1">'YR2000'!$A$1:$F$52</definedName>
    <definedName name="Z_4BCCC1E5_FCC6_11D2_A407_0020AFA10A34_.wvu.PrintArea" localSheetId="13" hidden="1">'YR2001'!$A$1:$F$53</definedName>
    <definedName name="Z_4BCCC1E5_FCC6_11D2_A407_0020AFA10A34_.wvu.PrintArea" localSheetId="12" hidden="1">'YR2002'!$A$1:$F$53</definedName>
    <definedName name="Z_4BCCC1E5_FCC6_11D2_A407_0020AFA10A34_.wvu.PrintArea" localSheetId="10" hidden="1">'YR2003'!$A$1:$F$53</definedName>
    <definedName name="Z_4BCCC1E5_FCC6_11D2_A407_0020AFA10A34_.wvu.PrintArea" localSheetId="18" hidden="1">'YR91-93'!$A$1:$F$59</definedName>
    <definedName name="Z_4BCCC1E5_FCC6_11D2_A407_0020AFA10A34_.wvu.PrintArea" localSheetId="17" hidden="1">'YR94-96'!$A$1:$F$60</definedName>
    <definedName name="Z_4BCCC1E5_FCC6_11D2_A407_0020AFA10A34_.wvu.PrintArea" localSheetId="21" hidden="1">'YR97'!$A$1:$F$62</definedName>
    <definedName name="Z_4BCCC1E5_FCC6_11D2_A407_0020AFA10A34_.wvu.PrintArea" localSheetId="16" hidden="1">'YR97-99'!$A$1:$F$57</definedName>
    <definedName name="Z_4BCCC1E5_FCC6_11D2_A407_0020AFA10A34_.wvu.PrintArea" localSheetId="19" hidden="1">'YR99'!$A$1:$F$61</definedName>
    <definedName name="Z_4BCCC1E5_FCC6_11D2_A407_0020AFA10A34_.wvu.Rows" localSheetId="15" hidden="1">'YR00-02'!$4:$57</definedName>
    <definedName name="Z_4BCCC1E5_FCC6_11D2_A407_0020AFA10A34_.wvu.Rows" localSheetId="14" hidden="1">'YR2000'!$4:$57</definedName>
    <definedName name="Z_4BCCC1E5_FCC6_11D2_A407_0020AFA10A34_.wvu.Rows" localSheetId="13" hidden="1">'YR2001'!$4:$57</definedName>
    <definedName name="Z_4BCCC1E5_FCC6_11D2_A407_0020AFA10A34_.wvu.Rows" localSheetId="12" hidden="1">'YR2002'!$4:$57</definedName>
    <definedName name="Z_4BCCC1E5_FCC6_11D2_A407_0020AFA10A34_.wvu.Rows" localSheetId="10" hidden="1">'YR2003'!$4:$57</definedName>
    <definedName name="Z_4BCCC1E5_FCC6_11D2_A407_0020AFA10A34_.wvu.Rows" localSheetId="18" hidden="1">'YR91-93'!$4:$63</definedName>
    <definedName name="Z_4BCCC1E5_FCC6_11D2_A407_0020AFA10A34_.wvu.Rows" localSheetId="17" hidden="1">'YR94-96'!$4:$61</definedName>
    <definedName name="Z_4BCCC1E5_FCC6_11D2_A407_0020AFA10A34_.wvu.Rows" localSheetId="21" hidden="1">'YR97'!$4:$66</definedName>
    <definedName name="Z_4BCCC1E5_FCC6_11D2_A407_0020AFA10A34_.wvu.Rows" localSheetId="16" hidden="1">'YR97-99'!$4:$58</definedName>
    <definedName name="Z_4BCCC1E5_FCC6_11D2_A407_0020AFA10A34_.wvu.Rows" localSheetId="19" hidden="1">'YR99'!$4:$66</definedName>
    <definedName name="Z_57B146A4_11DC_11D4_AB98_E0419FF01945_.wvu.PrintArea" localSheetId="1" hidden="1">'statistics'!$A$1:$J$33</definedName>
    <definedName name="Z_57B146A4_11DC_11D4_AB98_E0419FF01945_.wvu.PrintArea" localSheetId="0" hidden="1">'status'!$A$1:$C$52</definedName>
    <definedName name="Z_57B146A4_11DC_11D4_AB98_E0419FF01945_.wvu.PrintArea" localSheetId="15" hidden="1">'YR00-02'!$A$1:$F$57</definedName>
    <definedName name="Z_57B146A4_11DC_11D4_AB98_E0419FF01945_.wvu.PrintArea" localSheetId="14" hidden="1">'YR2000'!$A$1:$F$57</definedName>
    <definedName name="Z_57B146A4_11DC_11D4_AB98_E0419FF01945_.wvu.PrintArea" localSheetId="13" hidden="1">'YR2001'!$A$1:$F$57</definedName>
    <definedName name="Z_57B146A4_11DC_11D4_AB98_E0419FF01945_.wvu.PrintArea" localSheetId="12" hidden="1">'YR2002'!$A$1:$F$57</definedName>
    <definedName name="Z_57B146A4_11DC_11D4_AB98_E0419FF01945_.wvu.PrintArea" localSheetId="10" hidden="1">'YR2003'!$A$1:$F$57</definedName>
    <definedName name="Z_57B146A4_11DC_11D4_AB98_E0419FF01945_.wvu.PrintArea" localSheetId="11" hidden="1">'YR91-02'!$A$1:$F$57</definedName>
    <definedName name="Z_57B146A4_11DC_11D4_AB98_E0419FF01945_.wvu.PrintArea" localSheetId="2" hidden="1">'YR91-09'!$A$1:$F$65</definedName>
    <definedName name="Z_57B146A4_11DC_11D4_AB98_E0419FF01945_.wvu.PrintArea" localSheetId="18" hidden="1">'YR91-93'!$A$1:$F$63</definedName>
    <definedName name="Z_57B146A4_11DC_11D4_AB98_E0419FF01945_.wvu.PrintArea" localSheetId="17" hidden="1">'YR94-96'!$A$1:$F$61</definedName>
    <definedName name="Z_57B146A4_11DC_11D4_AB98_E0419FF01945_.wvu.PrintArea" localSheetId="21" hidden="1">'YR97'!$A$1:$F$66</definedName>
    <definedName name="Z_57B146A4_11DC_11D4_AB98_E0419FF01945_.wvu.PrintArea" localSheetId="16" hidden="1">'YR97-99'!$A$1:$F$58</definedName>
    <definedName name="Z_57B146A4_11DC_11D4_AB98_E0419FF01945_.wvu.PrintArea" localSheetId="20" hidden="1">'YR98'!$A$1:$F$66</definedName>
    <definedName name="Z_57B146A4_11DC_11D4_AB98_E0419FF01945_.wvu.PrintArea" localSheetId="19" hidden="1">'YR99'!$A$1:$F$66</definedName>
    <definedName name="Z_57B146A4_11DC_11D4_AB98_E0419FF01945_.wvu.Rows" localSheetId="20" hidden="1">'YR98'!$4:$66</definedName>
    <definedName name="Z_57B146AC_11DC_11D4_AB98_E0419FF01945_.wvu.PrintArea" localSheetId="1" hidden="1">'statistics'!$A$1:$K$33</definedName>
    <definedName name="Z_57B146AC_11DC_11D4_AB98_E0419FF01945_.wvu.PrintArea" localSheetId="0" hidden="1">'status'!#REF!</definedName>
    <definedName name="Z_57B146AC_11DC_11D4_AB98_E0419FF01945_.wvu.PrintArea" localSheetId="15" hidden="1">'YR00-02'!$A$1:$F$57</definedName>
    <definedName name="Z_57B146AC_11DC_11D4_AB98_E0419FF01945_.wvu.PrintArea" localSheetId="14" hidden="1">'YR2000'!$A$1:$F$50</definedName>
    <definedName name="Z_57B146AC_11DC_11D4_AB98_E0419FF01945_.wvu.PrintArea" localSheetId="13" hidden="1">'YR2001'!$A$1:$F$50</definedName>
    <definedName name="Z_57B146AC_11DC_11D4_AB98_E0419FF01945_.wvu.PrintArea" localSheetId="12" hidden="1">'YR2002'!$A$1:$F$50</definedName>
    <definedName name="Z_57B146AC_11DC_11D4_AB98_E0419FF01945_.wvu.PrintArea" localSheetId="10" hidden="1">'YR2003'!$A$1:$F$50</definedName>
    <definedName name="Z_57B146AC_11DC_11D4_AB98_E0419FF01945_.wvu.PrintArea" localSheetId="11" hidden="1">'YR91-02'!$A$1:$F$54</definedName>
    <definedName name="Z_57B146AC_11DC_11D4_AB98_E0419FF01945_.wvu.PrintArea" localSheetId="2" hidden="1">'YR91-09'!$A$1:$F$64</definedName>
    <definedName name="Z_57B146AC_11DC_11D4_AB98_E0419FF01945_.wvu.PrintArea" localSheetId="18" hidden="1">'YR91-93'!$A$1:$F$63</definedName>
    <definedName name="Z_57B146AC_11DC_11D4_AB98_E0419FF01945_.wvu.PrintArea" localSheetId="17" hidden="1">'YR94-96'!$A$1:$F$61</definedName>
    <definedName name="Z_57B146AC_11DC_11D4_AB98_E0419FF01945_.wvu.PrintArea" localSheetId="21" hidden="1">'YR97'!$A$1:$F$66</definedName>
    <definedName name="Z_57B146AC_11DC_11D4_AB98_E0419FF01945_.wvu.PrintArea" localSheetId="16" hidden="1">'YR97-99'!$A$1:$F$58</definedName>
    <definedName name="Z_57B146AC_11DC_11D4_AB98_E0419FF01945_.wvu.PrintArea" localSheetId="20" hidden="1">'YR98'!$A$1:$F$66</definedName>
    <definedName name="Z_57B146AC_11DC_11D4_AB98_E0419FF01945_.wvu.PrintArea" localSheetId="19" hidden="1">'YR99'!$A$1:$F$66</definedName>
    <definedName name="Z_57B146AC_11DC_11D4_AB98_E0419FF01945_.wvu.Rows" localSheetId="20" hidden="1">'YR98'!$4:$66</definedName>
    <definedName name="Z_68030685_0686_11D4_AB98_F591A30A5FB9_.wvu.PrintArea" localSheetId="1" hidden="1">'statistics'!$A$1:$K$33</definedName>
    <definedName name="Z_68030685_0686_11D4_AB98_F591A30A5FB9_.wvu.PrintArea" localSheetId="0" hidden="1">'status'!$A$1:$C$52</definedName>
    <definedName name="Z_68030685_0686_11D4_AB98_F591A30A5FB9_.wvu.PrintArea" localSheetId="15" hidden="1">'YR00-02'!$A$1:$F$57</definedName>
    <definedName name="Z_68030685_0686_11D4_AB98_F591A30A5FB9_.wvu.PrintArea" localSheetId="14" hidden="1">'YR2000'!$A$1:$F$50</definedName>
    <definedName name="Z_68030685_0686_11D4_AB98_F591A30A5FB9_.wvu.PrintArea" localSheetId="13" hidden="1">'YR2001'!$A$1:$F$50</definedName>
    <definedName name="Z_68030685_0686_11D4_AB98_F591A30A5FB9_.wvu.PrintArea" localSheetId="12" hidden="1">'YR2002'!$A$1:$F$50</definedName>
    <definedName name="Z_68030685_0686_11D4_AB98_F591A30A5FB9_.wvu.PrintArea" localSheetId="10" hidden="1">'YR2003'!$A$1:$F$50</definedName>
    <definedName name="Z_68030685_0686_11D4_AB98_F591A30A5FB9_.wvu.PrintArea" localSheetId="11" hidden="1">'YR91-02'!$A$1:$F$54</definedName>
    <definedName name="Z_68030685_0686_11D4_AB98_F591A30A5FB9_.wvu.PrintArea" localSheetId="2" hidden="1">'YR91-09'!$A$1:$F$64</definedName>
    <definedName name="Z_68030685_0686_11D4_AB98_F591A30A5FB9_.wvu.PrintArea" localSheetId="18" hidden="1">'YR91-93'!$A$1:$F$63</definedName>
    <definedName name="Z_68030685_0686_11D4_AB98_F591A30A5FB9_.wvu.PrintArea" localSheetId="17" hidden="1">'YR94-96'!$A$1:$F$61</definedName>
    <definedName name="Z_68030685_0686_11D4_AB98_F591A30A5FB9_.wvu.PrintArea" localSheetId="21" hidden="1">'YR97'!$A$1:$F$66</definedName>
    <definedName name="Z_68030685_0686_11D4_AB98_F591A30A5FB9_.wvu.PrintArea" localSheetId="16" hidden="1">'YR97-99'!$A$1:$F$58</definedName>
    <definedName name="Z_68030685_0686_11D4_AB98_F591A30A5FB9_.wvu.PrintArea" localSheetId="20" hidden="1">'YR98'!$A$1:$F$66</definedName>
    <definedName name="Z_68030685_0686_11D4_AB98_F591A30A5FB9_.wvu.PrintArea" localSheetId="19" hidden="1">'YR99'!$A$1:$F$66</definedName>
    <definedName name="Z_68030686_0686_11D4_AB98_F591A30A5FB9_.wvu.PrintArea" localSheetId="1" hidden="1">'statistics'!$A$1:$K$33</definedName>
    <definedName name="Z_68030686_0686_11D4_AB98_F591A30A5FB9_.wvu.PrintArea" localSheetId="0" hidden="1">'status'!$A$1:$C$1</definedName>
    <definedName name="Z_68030686_0686_11D4_AB98_F591A30A5FB9_.wvu.PrintArea" localSheetId="15" hidden="1">'YR00-02'!$A$1:$F$50</definedName>
    <definedName name="Z_68030686_0686_11D4_AB98_F591A30A5FB9_.wvu.PrintArea" localSheetId="14" hidden="1">'YR2000'!#REF!</definedName>
    <definedName name="Z_68030686_0686_11D4_AB98_F591A30A5FB9_.wvu.PrintArea" localSheetId="13" hidden="1">'YR2001'!#REF!</definedName>
    <definedName name="Z_68030686_0686_11D4_AB98_F591A30A5FB9_.wvu.PrintArea" localSheetId="12" hidden="1">'YR2002'!#REF!</definedName>
    <definedName name="Z_68030686_0686_11D4_AB98_F591A30A5FB9_.wvu.PrintArea" localSheetId="10" hidden="1">'YR2003'!#REF!</definedName>
    <definedName name="Z_68030686_0686_11D4_AB98_F591A30A5FB9_.wvu.PrintArea" localSheetId="11" hidden="1">'YR91-02'!$A$1:$F$54</definedName>
    <definedName name="Z_68030686_0686_11D4_AB98_F591A30A5FB9_.wvu.PrintArea" localSheetId="2" hidden="1">'YR91-09'!$A$1:$F$64</definedName>
    <definedName name="Z_68030686_0686_11D4_AB98_F591A30A5FB9_.wvu.PrintArea" localSheetId="18" hidden="1">'YR91-93'!$A$1:$F$57</definedName>
    <definedName name="Z_68030686_0686_11D4_AB98_F591A30A5FB9_.wvu.PrintArea" localSheetId="17" hidden="1">'YR94-96'!$A$1:$F$58</definedName>
    <definedName name="Z_68030686_0686_11D4_AB98_F591A30A5FB9_.wvu.PrintArea" localSheetId="21" hidden="1">'YR97'!$A$1:$F$66</definedName>
    <definedName name="Z_68030686_0686_11D4_AB98_F591A30A5FB9_.wvu.PrintArea" localSheetId="16" hidden="1">'YR97-99'!$A$1:$F$51</definedName>
    <definedName name="Z_68030686_0686_11D4_AB98_F591A30A5FB9_.wvu.PrintArea" localSheetId="20" hidden="1">'YR98'!$A$1:$F$66</definedName>
    <definedName name="Z_68030686_0686_11D4_AB98_F591A30A5FB9_.wvu.PrintArea" localSheetId="19" hidden="1">'YR99'!$A$1:$F$59</definedName>
    <definedName name="Z_68030696_0686_11D4_AB98_F591A30A5FB9_.wvu.PrintArea" localSheetId="1" hidden="1">'statistics'!$A$1:$K$33</definedName>
    <definedName name="Z_68030696_0686_11D4_AB98_F591A30A5FB9_.wvu.PrintArea" localSheetId="0" hidden="1">'status'!$A$1:$C$1</definedName>
    <definedName name="Z_68030696_0686_11D4_AB98_F591A30A5FB9_.wvu.PrintArea" localSheetId="15" hidden="1">'YR00-02'!$A$1:$F$57</definedName>
    <definedName name="Z_68030696_0686_11D4_AB98_F591A30A5FB9_.wvu.PrintArea" localSheetId="14" hidden="1">'YR2000'!#REF!</definedName>
    <definedName name="Z_68030696_0686_11D4_AB98_F591A30A5FB9_.wvu.PrintArea" localSheetId="13" hidden="1">'YR2001'!#REF!</definedName>
    <definedName name="Z_68030696_0686_11D4_AB98_F591A30A5FB9_.wvu.PrintArea" localSheetId="12" hidden="1">'YR2002'!#REF!</definedName>
    <definedName name="Z_68030696_0686_11D4_AB98_F591A30A5FB9_.wvu.PrintArea" localSheetId="10" hidden="1">'YR2003'!#REF!</definedName>
    <definedName name="Z_68030696_0686_11D4_AB98_F591A30A5FB9_.wvu.PrintArea" localSheetId="11" hidden="1">'YR91-02'!$A$1:$F$54</definedName>
    <definedName name="Z_68030696_0686_11D4_AB98_F591A30A5FB9_.wvu.PrintArea" localSheetId="2" hidden="1">'YR91-09'!$A$1:$F$64</definedName>
    <definedName name="Z_68030696_0686_11D4_AB98_F591A30A5FB9_.wvu.PrintArea" localSheetId="18" hidden="1">'YR91-93'!$A$1:$F$63</definedName>
    <definedName name="Z_68030696_0686_11D4_AB98_F591A30A5FB9_.wvu.PrintArea" localSheetId="17" hidden="1">'YR94-96'!$A$1:$F$61</definedName>
    <definedName name="Z_68030696_0686_11D4_AB98_F591A30A5FB9_.wvu.PrintArea" localSheetId="21" hidden="1">'YR97'!$A$1:$F$60</definedName>
    <definedName name="Z_68030696_0686_11D4_AB98_F591A30A5FB9_.wvu.PrintArea" localSheetId="16" hidden="1">'YR97-99'!$A$1:$F$58</definedName>
    <definedName name="Z_68030696_0686_11D4_AB98_F591A30A5FB9_.wvu.PrintArea" localSheetId="20" hidden="1">'YR98'!$A$1:$F$66</definedName>
    <definedName name="Z_68030696_0686_11D4_AB98_F591A30A5FB9_.wvu.PrintArea" localSheetId="19" hidden="1">'YR99'!$A$1:$F$66</definedName>
    <definedName name="Z_A2CDFC26_F04E_11D3_AB98_DF2E5E1A176D_.wvu.PrintArea" localSheetId="1" hidden="1">'statistics'!$A$1:$K$33</definedName>
    <definedName name="Z_A2CDFC26_F04E_11D3_AB98_DF2E5E1A176D_.wvu.PrintArea" localSheetId="0" hidden="1">'status'!$A$1:$C$1</definedName>
    <definedName name="Z_A2CDFC26_F04E_11D3_AB98_DF2E5E1A176D_.wvu.PrintArea" localSheetId="15" hidden="1">'YR00-02'!$A$1:$F$57</definedName>
    <definedName name="Z_A2CDFC26_F04E_11D3_AB98_DF2E5E1A176D_.wvu.PrintArea" localSheetId="14" hidden="1">'YR2000'!$A$1:$F$57</definedName>
    <definedName name="Z_A2CDFC26_F04E_11D3_AB98_DF2E5E1A176D_.wvu.PrintArea" localSheetId="13" hidden="1">'YR2001'!$A$1:$F$57</definedName>
    <definedName name="Z_A2CDFC26_F04E_11D3_AB98_DF2E5E1A176D_.wvu.PrintArea" localSheetId="12" hidden="1">'YR2002'!$A$1:$F$57</definedName>
    <definedName name="Z_A2CDFC26_F04E_11D3_AB98_DF2E5E1A176D_.wvu.PrintArea" localSheetId="10" hidden="1">'YR2003'!$A$1:$F$57</definedName>
    <definedName name="Z_A2CDFC26_F04E_11D3_AB98_DF2E5E1A176D_.wvu.PrintArea" localSheetId="11" hidden="1">'YR91-02'!$A$1:$F$54</definedName>
    <definedName name="Z_A2CDFC26_F04E_11D3_AB98_DF2E5E1A176D_.wvu.PrintArea" localSheetId="2" hidden="1">'YR91-09'!$A$1:$F$64</definedName>
    <definedName name="Z_A2CDFC26_F04E_11D3_AB98_DF2E5E1A176D_.wvu.PrintArea" localSheetId="18" hidden="1">'YR91-93'!$A$1:$F$63</definedName>
    <definedName name="Z_A2CDFC26_F04E_11D3_AB98_DF2E5E1A176D_.wvu.PrintArea" localSheetId="17" hidden="1">'YR94-96'!$A$1:$F$61</definedName>
    <definedName name="Z_A2CDFC26_F04E_11D3_AB98_DF2E5E1A176D_.wvu.PrintArea" localSheetId="21" hidden="1">'YR97'!$A$1:$F$66</definedName>
    <definedName name="Z_A2CDFC26_F04E_11D3_AB98_DF2E5E1A176D_.wvu.PrintArea" localSheetId="16" hidden="1">'YR97-99'!$A$1:$F$58</definedName>
    <definedName name="Z_A2CDFC26_F04E_11D3_AB98_DF2E5E1A176D_.wvu.PrintArea" localSheetId="20" hidden="1">'YR98'!$A$1:$F$66</definedName>
    <definedName name="Z_A2CDFC26_F04E_11D3_AB98_DF2E5E1A176D_.wvu.PrintArea" localSheetId="19" hidden="1">'YR99'!$A$1:$F$66</definedName>
    <definedName name="Z_A2CDFC3E_F04E_11D3_AB98_DF2E5E1A176D_.wvu.PrintArea" localSheetId="1" hidden="1">'statistics'!$A$1:$J$34</definedName>
    <definedName name="Z_A2CDFC3E_F04E_11D3_AB98_DF2E5E1A176D_.wvu.PrintArea" localSheetId="0" hidden="1">'status'!$A$1:$C$51</definedName>
    <definedName name="Z_A2CDFC3E_F04E_11D3_AB98_DF2E5E1A176D_.wvu.PrintArea" localSheetId="15" hidden="1">'YR00-02'!$A$1:$F$57</definedName>
    <definedName name="Z_A2CDFC3E_F04E_11D3_AB98_DF2E5E1A176D_.wvu.PrintArea" localSheetId="14" hidden="1">'YR2000'!#REF!</definedName>
    <definedName name="Z_A2CDFC3E_F04E_11D3_AB98_DF2E5E1A176D_.wvu.PrintArea" localSheetId="13" hidden="1">'YR2001'!#REF!</definedName>
    <definedName name="Z_A2CDFC3E_F04E_11D3_AB98_DF2E5E1A176D_.wvu.PrintArea" localSheetId="12" hidden="1">'YR2002'!#REF!</definedName>
    <definedName name="Z_A2CDFC3E_F04E_11D3_AB98_DF2E5E1A176D_.wvu.PrintArea" localSheetId="10" hidden="1">'YR2003'!#REF!</definedName>
    <definedName name="Z_A2CDFC3E_F04E_11D3_AB98_DF2E5E1A176D_.wvu.PrintArea" localSheetId="11" hidden="1">'YR91-02'!$A$1:$F$54</definedName>
    <definedName name="Z_A2CDFC3E_F04E_11D3_AB98_DF2E5E1A176D_.wvu.PrintArea" localSheetId="2" hidden="1">'YR91-09'!$A$1:$F$64</definedName>
    <definedName name="Z_A2CDFC3E_F04E_11D3_AB98_DF2E5E1A176D_.wvu.PrintArea" localSheetId="18" hidden="1">'YR91-93'!$A$1:$F$63</definedName>
    <definedName name="Z_A2CDFC3E_F04E_11D3_AB98_DF2E5E1A176D_.wvu.PrintArea" localSheetId="17" hidden="1">'YR94-96'!$A$1:$F$61</definedName>
    <definedName name="Z_A2CDFC3E_F04E_11D3_AB98_DF2E5E1A176D_.wvu.PrintArea" localSheetId="21" hidden="1">'YR97'!$A$1:$F$66</definedName>
    <definedName name="Z_A2CDFC3E_F04E_11D3_AB98_DF2E5E1A176D_.wvu.PrintArea" localSheetId="16" hidden="1">'YR97-99'!$A$1:$F$58</definedName>
    <definedName name="Z_A2CDFC3E_F04E_11D3_AB98_DF2E5E1A176D_.wvu.PrintArea" localSheetId="20" hidden="1">'YR98'!$A$1:$F$58</definedName>
    <definedName name="Z_A2CDFC3E_F04E_11D3_AB98_DF2E5E1A176D_.wvu.PrintArea" localSheetId="19" hidden="1">'YR99'!$A$1:$F$66</definedName>
    <definedName name="Z_A2CDFC3E_F04E_11D3_AB98_DF2E5E1A176D_.wvu.Rows" localSheetId="1" hidden="1">'statistics'!$5:$34</definedName>
    <definedName name="Z_A2CDFC3E_F04E_11D3_AB98_DF2E5E1A176D_.wvu.Rows" localSheetId="0" hidden="1">'status'!$6:$53</definedName>
    <definedName name="Z_A2CDFC3E_F04E_11D3_AB98_DF2E5E1A176D_.wvu.Rows" localSheetId="11" hidden="1">'YR91-02'!$4:$57</definedName>
    <definedName name="Z_A2CDFC3E_F04E_11D3_AB98_DF2E5E1A176D_.wvu.Rows" localSheetId="2" hidden="1">'YR91-09'!$5:$65</definedName>
    <definedName name="Z_A2CDFC3E_F04E_11D3_AB98_DF2E5E1A176D_.wvu.Rows" localSheetId="20" hidden="1">'YR98'!$4:$66</definedName>
    <definedName name="Z_A2CDFC40_F04E_11D3_AB98_DF2E5E1A176D_.wvu.PrintArea" localSheetId="1" hidden="1">'statistics'!$A$1:$J$34</definedName>
    <definedName name="Z_A2CDFC40_F04E_11D3_AB98_DF2E5E1A176D_.wvu.PrintArea" localSheetId="0" hidden="1">'status'!$A$1:$C$51</definedName>
    <definedName name="Z_A2CDFC40_F04E_11D3_AB98_DF2E5E1A176D_.wvu.PrintArea" localSheetId="15" hidden="1">'YR00-02'!$A$1:$F$57</definedName>
    <definedName name="Z_A2CDFC40_F04E_11D3_AB98_DF2E5E1A176D_.wvu.PrintArea" localSheetId="14" hidden="1">'YR2000'!#REF!</definedName>
    <definedName name="Z_A2CDFC40_F04E_11D3_AB98_DF2E5E1A176D_.wvu.PrintArea" localSheetId="13" hidden="1">'YR2001'!#REF!</definedName>
    <definedName name="Z_A2CDFC40_F04E_11D3_AB98_DF2E5E1A176D_.wvu.PrintArea" localSheetId="12" hidden="1">'YR2002'!#REF!</definedName>
    <definedName name="Z_A2CDFC40_F04E_11D3_AB98_DF2E5E1A176D_.wvu.PrintArea" localSheetId="10" hidden="1">'YR2003'!#REF!</definedName>
    <definedName name="Z_A2CDFC40_F04E_11D3_AB98_DF2E5E1A176D_.wvu.PrintArea" localSheetId="11" hidden="1">'YR91-02'!$A$1:$F$54</definedName>
    <definedName name="Z_A2CDFC40_F04E_11D3_AB98_DF2E5E1A176D_.wvu.PrintArea" localSheetId="2" hidden="1">'YR91-09'!$A$1:$F$64</definedName>
    <definedName name="Z_A2CDFC40_F04E_11D3_AB98_DF2E5E1A176D_.wvu.PrintArea" localSheetId="18" hidden="1">'YR91-93'!$A$1:$F$63</definedName>
    <definedName name="Z_A2CDFC40_F04E_11D3_AB98_DF2E5E1A176D_.wvu.PrintArea" localSheetId="17" hidden="1">'YR94-96'!$A$1:$F$61</definedName>
    <definedName name="Z_A2CDFC40_F04E_11D3_AB98_DF2E5E1A176D_.wvu.PrintArea" localSheetId="21" hidden="1">'YR97'!$A$1:$F$66</definedName>
    <definedName name="Z_A2CDFC40_F04E_11D3_AB98_DF2E5E1A176D_.wvu.PrintArea" localSheetId="16" hidden="1">'YR97-99'!$A$1:$F$58</definedName>
    <definedName name="Z_A2CDFC40_F04E_11D3_AB98_DF2E5E1A176D_.wvu.PrintArea" localSheetId="20" hidden="1">'YR98'!$A$1:$F$58</definedName>
    <definedName name="Z_A2CDFC40_F04E_11D3_AB98_DF2E5E1A176D_.wvu.PrintArea" localSheetId="19" hidden="1">'YR99'!$A$1:$F$66</definedName>
    <definedName name="Z_A2CDFC40_F04E_11D3_AB98_DF2E5E1A176D_.wvu.Rows" localSheetId="1" hidden="1">'statistics'!$5:$34</definedName>
    <definedName name="Z_A2CDFC40_F04E_11D3_AB98_DF2E5E1A176D_.wvu.Rows" localSheetId="0" hidden="1">'status'!$6:$53</definedName>
    <definedName name="Z_A2CDFC40_F04E_11D3_AB98_DF2E5E1A176D_.wvu.Rows" localSheetId="15" hidden="1">'YR00-02'!$4:$57</definedName>
    <definedName name="Z_A2CDFC40_F04E_11D3_AB98_DF2E5E1A176D_.wvu.Rows" localSheetId="14" hidden="1">'YR2000'!$3:$57</definedName>
    <definedName name="Z_A2CDFC40_F04E_11D3_AB98_DF2E5E1A176D_.wvu.Rows" localSheetId="13" hidden="1">'YR2001'!$3:$57</definedName>
    <definedName name="Z_A2CDFC40_F04E_11D3_AB98_DF2E5E1A176D_.wvu.Rows" localSheetId="12" hidden="1">'YR2002'!$3:$57</definedName>
    <definedName name="Z_A2CDFC40_F04E_11D3_AB98_DF2E5E1A176D_.wvu.Rows" localSheetId="10" hidden="1">'YR2003'!$3:$57</definedName>
    <definedName name="Z_A2CDFC40_F04E_11D3_AB98_DF2E5E1A176D_.wvu.Rows" localSheetId="11" hidden="1">'YR91-02'!$4:$57</definedName>
    <definedName name="Z_A2CDFC40_F04E_11D3_AB98_DF2E5E1A176D_.wvu.Rows" localSheetId="2" hidden="1">'YR91-09'!$5:$65</definedName>
    <definedName name="Z_A2CDFC40_F04E_11D3_AB98_DF2E5E1A176D_.wvu.Rows" localSheetId="18" hidden="1">'YR91-93'!$4:$63</definedName>
    <definedName name="Z_A2CDFC40_F04E_11D3_AB98_DF2E5E1A176D_.wvu.Rows" localSheetId="17" hidden="1">'YR94-96'!$4:$61</definedName>
    <definedName name="Z_A2CDFC40_F04E_11D3_AB98_DF2E5E1A176D_.wvu.Rows" localSheetId="16" hidden="1">'YR97-99'!$4:$58</definedName>
    <definedName name="Z_A2CDFC40_F04E_11D3_AB98_DF2E5E1A176D_.wvu.Rows" localSheetId="20" hidden="1">'YR98'!$4:$66</definedName>
    <definedName name="Z_A2CDFC40_F04E_11D3_AB98_DF2E5E1A176D_.wvu.Rows" localSheetId="19" hidden="1">'YR99'!$4:$66</definedName>
    <definedName name="Z_A2CDFC42_F04E_11D3_AB98_DF2E5E1A176D_.wvu.PrintArea" localSheetId="1" hidden="1">'statistics'!$A$1:$J$34</definedName>
    <definedName name="Z_A2CDFC42_F04E_11D3_AB98_DF2E5E1A176D_.wvu.PrintArea" localSheetId="0" hidden="1">'status'!$A$1:$C$51</definedName>
    <definedName name="Z_A2CDFC42_F04E_11D3_AB98_DF2E5E1A176D_.wvu.PrintArea" localSheetId="15" hidden="1">'YR00-02'!$A$1:$F$57</definedName>
    <definedName name="Z_A2CDFC42_F04E_11D3_AB98_DF2E5E1A176D_.wvu.PrintArea" localSheetId="14" hidden="1">'YR2000'!#REF!</definedName>
    <definedName name="Z_A2CDFC42_F04E_11D3_AB98_DF2E5E1A176D_.wvu.PrintArea" localSheetId="13" hidden="1">'YR2001'!#REF!</definedName>
    <definedName name="Z_A2CDFC42_F04E_11D3_AB98_DF2E5E1A176D_.wvu.PrintArea" localSheetId="12" hidden="1">'YR2002'!#REF!</definedName>
    <definedName name="Z_A2CDFC42_F04E_11D3_AB98_DF2E5E1A176D_.wvu.PrintArea" localSheetId="10" hidden="1">'YR2003'!#REF!</definedName>
    <definedName name="Z_A2CDFC42_F04E_11D3_AB98_DF2E5E1A176D_.wvu.PrintArea" localSheetId="11" hidden="1">'YR91-02'!$A$1:$F$54</definedName>
    <definedName name="Z_A2CDFC42_F04E_11D3_AB98_DF2E5E1A176D_.wvu.PrintArea" localSheetId="2" hidden="1">'YR91-09'!$A$1:$F$64</definedName>
    <definedName name="Z_A2CDFC42_F04E_11D3_AB98_DF2E5E1A176D_.wvu.PrintArea" localSheetId="18" hidden="1">'YR91-93'!$A$1:$F$63</definedName>
    <definedName name="Z_A2CDFC42_F04E_11D3_AB98_DF2E5E1A176D_.wvu.PrintArea" localSheetId="17" hidden="1">'YR94-96'!$A$1:$F$61</definedName>
    <definedName name="Z_A2CDFC42_F04E_11D3_AB98_DF2E5E1A176D_.wvu.PrintArea" localSheetId="21" hidden="1">'YR97'!$A$1:$F$66</definedName>
    <definedName name="Z_A2CDFC42_F04E_11D3_AB98_DF2E5E1A176D_.wvu.PrintArea" localSheetId="16" hidden="1">'YR97-99'!$A$1:$F$58</definedName>
    <definedName name="Z_A2CDFC42_F04E_11D3_AB98_DF2E5E1A176D_.wvu.PrintArea" localSheetId="20" hidden="1">'YR98'!$A$1:$F$58</definedName>
    <definedName name="Z_A2CDFC42_F04E_11D3_AB98_DF2E5E1A176D_.wvu.PrintArea" localSheetId="19" hidden="1">'YR99'!$A$1:$F$66</definedName>
    <definedName name="Z_A2CDFC42_F04E_11D3_AB98_DF2E5E1A176D_.wvu.Rows" localSheetId="1" hidden="1">'statistics'!$5:$34</definedName>
    <definedName name="Z_A2CDFC42_F04E_11D3_AB98_DF2E5E1A176D_.wvu.Rows" localSheetId="0" hidden="1">'status'!$6:$53</definedName>
    <definedName name="Z_A2CDFC42_F04E_11D3_AB98_DF2E5E1A176D_.wvu.Rows" localSheetId="15" hidden="1">'YR00-02'!$4:$57</definedName>
    <definedName name="Z_A2CDFC42_F04E_11D3_AB98_DF2E5E1A176D_.wvu.Rows" localSheetId="14" hidden="1">'YR2000'!$3:$57</definedName>
    <definedName name="Z_A2CDFC42_F04E_11D3_AB98_DF2E5E1A176D_.wvu.Rows" localSheetId="13" hidden="1">'YR2001'!$3:$57</definedName>
    <definedName name="Z_A2CDFC42_F04E_11D3_AB98_DF2E5E1A176D_.wvu.Rows" localSheetId="12" hidden="1">'YR2002'!$3:$57</definedName>
    <definedName name="Z_A2CDFC42_F04E_11D3_AB98_DF2E5E1A176D_.wvu.Rows" localSheetId="10" hidden="1">'YR2003'!$3:$57</definedName>
    <definedName name="Z_A2CDFC42_F04E_11D3_AB98_DF2E5E1A176D_.wvu.Rows" localSheetId="11" hidden="1">'YR91-02'!$4:$57</definedName>
    <definedName name="Z_A2CDFC42_F04E_11D3_AB98_DF2E5E1A176D_.wvu.Rows" localSheetId="2" hidden="1">'YR91-09'!$5:$65</definedName>
    <definedName name="Z_A2CDFC42_F04E_11D3_AB98_DF2E5E1A176D_.wvu.Rows" localSheetId="18" hidden="1">'YR91-93'!$4:$63</definedName>
    <definedName name="Z_A2CDFC42_F04E_11D3_AB98_DF2E5E1A176D_.wvu.Rows" localSheetId="17" hidden="1">'YR94-96'!$4:$61</definedName>
    <definedName name="Z_A2CDFC42_F04E_11D3_AB98_DF2E5E1A176D_.wvu.Rows" localSheetId="21" hidden="1">'YR97'!$4:$66</definedName>
    <definedName name="Z_A2CDFC42_F04E_11D3_AB98_DF2E5E1A176D_.wvu.Rows" localSheetId="16" hidden="1">'YR97-99'!$4:$58</definedName>
    <definedName name="Z_A2CDFC42_F04E_11D3_AB98_DF2E5E1A176D_.wvu.Rows" localSheetId="20" hidden="1">'YR98'!$4:$66</definedName>
    <definedName name="Z_A2CDFC42_F04E_11D3_AB98_DF2E5E1A176D_.wvu.Rows" localSheetId="19" hidden="1">'YR99'!$4:$66</definedName>
    <definedName name="Z_A2CDFC4C_F04E_11D3_AB98_DF2E5E1A176D_.wvu.PrintArea" localSheetId="1" hidden="1">'statistics'!$A$1:$J$34</definedName>
    <definedName name="Z_A2CDFC4C_F04E_11D3_AB98_DF2E5E1A176D_.wvu.PrintArea" localSheetId="0" hidden="1">'status'!$A$1:$C$51</definedName>
    <definedName name="Z_A2CDFC4C_F04E_11D3_AB98_DF2E5E1A176D_.wvu.PrintArea" localSheetId="15" hidden="1">'YR00-02'!$A$1:$F$57</definedName>
    <definedName name="Z_A2CDFC4C_F04E_11D3_AB98_DF2E5E1A176D_.wvu.PrintArea" localSheetId="14" hidden="1">'YR2000'!$A$1:$F$57</definedName>
    <definedName name="Z_A2CDFC4C_F04E_11D3_AB98_DF2E5E1A176D_.wvu.PrintArea" localSheetId="13" hidden="1">'YR2001'!$A$1:$F$57</definedName>
    <definedName name="Z_A2CDFC4C_F04E_11D3_AB98_DF2E5E1A176D_.wvu.PrintArea" localSheetId="12" hidden="1">'YR2002'!$A$1:$F$57</definedName>
    <definedName name="Z_A2CDFC4C_F04E_11D3_AB98_DF2E5E1A176D_.wvu.PrintArea" localSheetId="10" hidden="1">'YR2003'!$A$1:$F$57</definedName>
    <definedName name="Z_A2CDFC4C_F04E_11D3_AB98_DF2E5E1A176D_.wvu.PrintArea" localSheetId="11" hidden="1">'YR91-02'!$A$1:$F$54</definedName>
    <definedName name="Z_A2CDFC4C_F04E_11D3_AB98_DF2E5E1A176D_.wvu.PrintArea" localSheetId="2" hidden="1">'YR91-09'!$A$1:$F$64</definedName>
    <definedName name="Z_A2CDFC4C_F04E_11D3_AB98_DF2E5E1A176D_.wvu.PrintArea" localSheetId="18" hidden="1">'YR91-93'!$A$1:$F$63</definedName>
    <definedName name="Z_A2CDFC4C_F04E_11D3_AB98_DF2E5E1A176D_.wvu.PrintArea" localSheetId="17" hidden="1">'YR94-96'!$A$1:$F$61</definedName>
    <definedName name="Z_A2CDFC4C_F04E_11D3_AB98_DF2E5E1A176D_.wvu.PrintArea" localSheetId="21" hidden="1">'YR97'!$A$1:$F$66</definedName>
    <definedName name="Z_A2CDFC4C_F04E_11D3_AB98_DF2E5E1A176D_.wvu.PrintArea" localSheetId="16" hidden="1">'YR97-99'!$A$1:$F$58</definedName>
    <definedName name="Z_A2CDFC4C_F04E_11D3_AB98_DF2E5E1A176D_.wvu.PrintArea" localSheetId="20" hidden="1">'YR98'!$A$1:$F$58</definedName>
    <definedName name="Z_A2CDFC4C_F04E_11D3_AB98_DF2E5E1A176D_.wvu.PrintArea" localSheetId="19" hidden="1">'YR99'!$A$1:$F$66</definedName>
    <definedName name="Z_A2CDFC4C_F04E_11D3_AB98_DF2E5E1A176D_.wvu.Rows" localSheetId="1" hidden="1">'statistics'!$5:$34</definedName>
    <definedName name="Z_A2CDFC4C_F04E_11D3_AB98_DF2E5E1A176D_.wvu.Rows" localSheetId="0" hidden="1">'status'!$6:$53</definedName>
    <definedName name="Z_A2CDFC4C_F04E_11D3_AB98_DF2E5E1A176D_.wvu.Rows" localSheetId="15" hidden="1">'YR00-02'!$4:$57</definedName>
    <definedName name="Z_A2CDFC4C_F04E_11D3_AB98_DF2E5E1A176D_.wvu.Rows" localSheetId="14" hidden="1">'YR2000'!$3:$57</definedName>
    <definedName name="Z_A2CDFC4C_F04E_11D3_AB98_DF2E5E1A176D_.wvu.Rows" localSheetId="13" hidden="1">'YR2001'!$3:$57</definedName>
    <definedName name="Z_A2CDFC4C_F04E_11D3_AB98_DF2E5E1A176D_.wvu.Rows" localSheetId="12" hidden="1">'YR2002'!$3:$57</definedName>
    <definedName name="Z_A2CDFC4C_F04E_11D3_AB98_DF2E5E1A176D_.wvu.Rows" localSheetId="10" hidden="1">'YR2003'!$3:$57</definedName>
    <definedName name="Z_A2CDFC4C_F04E_11D3_AB98_DF2E5E1A176D_.wvu.Rows" localSheetId="11" hidden="1">'YR91-02'!$4:$57</definedName>
    <definedName name="Z_A2CDFC4C_F04E_11D3_AB98_DF2E5E1A176D_.wvu.Rows" localSheetId="2" hidden="1">'YR91-09'!$5:$65</definedName>
    <definedName name="Z_A2CDFC4C_F04E_11D3_AB98_DF2E5E1A176D_.wvu.Rows" localSheetId="18" hidden="1">'YR91-93'!$4:$63</definedName>
    <definedName name="Z_A2CDFC4C_F04E_11D3_AB98_DF2E5E1A176D_.wvu.Rows" localSheetId="17" hidden="1">'YR94-96'!$4:$61</definedName>
    <definedName name="Z_A2CDFC4C_F04E_11D3_AB98_DF2E5E1A176D_.wvu.Rows" localSheetId="21" hidden="1">'YR97'!$4:$66</definedName>
    <definedName name="Z_A2CDFC4C_F04E_11D3_AB98_DF2E5E1A176D_.wvu.Rows" localSheetId="16" hidden="1">'YR97-99'!$4:$58</definedName>
    <definedName name="Z_A2CDFC4C_F04E_11D3_AB98_DF2E5E1A176D_.wvu.Rows" localSheetId="19" hidden="1">'YR99'!$4:$66</definedName>
    <definedName name="Z_A2CDFC55_F04E_11D3_AB98_DF2E5E1A176D_.wvu.PrintArea" localSheetId="1" hidden="1">'statistics'!$A$1:$J$34</definedName>
    <definedName name="Z_A2CDFC55_F04E_11D3_AB98_DF2E5E1A176D_.wvu.PrintArea" localSheetId="0" hidden="1">'status'!$A$1:$C$51</definedName>
    <definedName name="Z_A2CDFC55_F04E_11D3_AB98_DF2E5E1A176D_.wvu.PrintArea" localSheetId="15" hidden="1">'YR00-02'!$A$1:$F$57</definedName>
    <definedName name="Z_A2CDFC55_F04E_11D3_AB98_DF2E5E1A176D_.wvu.PrintArea" localSheetId="14" hidden="1">'YR2000'!$A$1:$F$57</definedName>
    <definedName name="Z_A2CDFC55_F04E_11D3_AB98_DF2E5E1A176D_.wvu.PrintArea" localSheetId="13" hidden="1">'YR2001'!$A$1:$F$57</definedName>
    <definedName name="Z_A2CDFC55_F04E_11D3_AB98_DF2E5E1A176D_.wvu.PrintArea" localSheetId="12" hidden="1">'YR2002'!$A$1:$F$57</definedName>
    <definedName name="Z_A2CDFC55_F04E_11D3_AB98_DF2E5E1A176D_.wvu.PrintArea" localSheetId="10" hidden="1">'YR2003'!$A$1:$F$57</definedName>
    <definedName name="Z_A2CDFC55_F04E_11D3_AB98_DF2E5E1A176D_.wvu.PrintArea" localSheetId="11" hidden="1">'YR91-02'!$A$1:$F$57</definedName>
    <definedName name="Z_A2CDFC55_F04E_11D3_AB98_DF2E5E1A176D_.wvu.PrintArea" localSheetId="2" hidden="1">'YR91-09'!$A$1:$F$65</definedName>
    <definedName name="Z_A2CDFC55_F04E_11D3_AB98_DF2E5E1A176D_.wvu.PrintArea" localSheetId="18" hidden="1">'YR91-93'!$A$1:$F$63</definedName>
    <definedName name="Z_A2CDFC55_F04E_11D3_AB98_DF2E5E1A176D_.wvu.PrintArea" localSheetId="17" hidden="1">'YR94-96'!$A$1:$F$61</definedName>
    <definedName name="Z_A2CDFC55_F04E_11D3_AB98_DF2E5E1A176D_.wvu.PrintArea" localSheetId="21" hidden="1">'YR97'!$A$1:$F$66</definedName>
    <definedName name="Z_A2CDFC55_F04E_11D3_AB98_DF2E5E1A176D_.wvu.PrintArea" localSheetId="16" hidden="1">'YR97-99'!$A$1:$F$58</definedName>
    <definedName name="Z_A2CDFC55_F04E_11D3_AB98_DF2E5E1A176D_.wvu.PrintArea" localSheetId="20" hidden="1">'YR98'!$A$1:$F$66</definedName>
    <definedName name="Z_A2CDFC55_F04E_11D3_AB98_DF2E5E1A176D_.wvu.PrintArea" localSheetId="19" hidden="1">'YR99'!$A$1:$F$66</definedName>
    <definedName name="Z_A2CDFC55_F04E_11D3_AB98_DF2E5E1A176D_.wvu.Rows" localSheetId="1" hidden="1">'statistics'!$5:$34</definedName>
    <definedName name="Z_A2CDFC55_F04E_11D3_AB98_DF2E5E1A176D_.wvu.Rows" localSheetId="0" hidden="1">'status'!$6:$53</definedName>
    <definedName name="Z_A2CDFC55_F04E_11D3_AB98_DF2E5E1A176D_.wvu.Rows" localSheetId="15" hidden="1">'YR00-02'!$4:$57</definedName>
    <definedName name="Z_A2CDFC55_F04E_11D3_AB98_DF2E5E1A176D_.wvu.Rows" localSheetId="14" hidden="1">'YR2000'!$3:$57</definedName>
    <definedName name="Z_A2CDFC55_F04E_11D3_AB98_DF2E5E1A176D_.wvu.Rows" localSheetId="13" hidden="1">'YR2001'!$3:$57</definedName>
    <definedName name="Z_A2CDFC55_F04E_11D3_AB98_DF2E5E1A176D_.wvu.Rows" localSheetId="12" hidden="1">'YR2002'!$3:$57</definedName>
    <definedName name="Z_A2CDFC55_F04E_11D3_AB98_DF2E5E1A176D_.wvu.Rows" localSheetId="10" hidden="1">'YR2003'!$3:$57</definedName>
    <definedName name="Z_A2CDFC55_F04E_11D3_AB98_DF2E5E1A176D_.wvu.Rows" localSheetId="11" hidden="1">'YR91-02'!$4:$57</definedName>
    <definedName name="Z_A2CDFC55_F04E_11D3_AB98_DF2E5E1A176D_.wvu.Rows" localSheetId="2" hidden="1">'YR91-09'!$5:$65</definedName>
    <definedName name="Z_A2CDFC55_F04E_11D3_AB98_DF2E5E1A176D_.wvu.Rows" localSheetId="18" hidden="1">'YR91-93'!$4:$63</definedName>
    <definedName name="Z_A2CDFC55_F04E_11D3_AB98_DF2E5E1A176D_.wvu.Rows" localSheetId="17" hidden="1">'YR94-96'!$4:$61</definedName>
    <definedName name="Z_A2CDFC55_F04E_11D3_AB98_DF2E5E1A176D_.wvu.Rows" localSheetId="21" hidden="1">'YR97'!$4:$66</definedName>
    <definedName name="Z_A2CDFC55_F04E_11D3_AB98_DF2E5E1A176D_.wvu.Rows" localSheetId="16" hidden="1">'YR97-99'!$4:$58</definedName>
    <definedName name="Z_A2CDFC55_F04E_11D3_AB98_DF2E5E1A176D_.wvu.Rows" localSheetId="20" hidden="1">'YR98'!$4:$66</definedName>
    <definedName name="Z_A2CDFC55_F04E_11D3_AB98_DF2E5E1A176D_.wvu.Rows" localSheetId="19" hidden="1">'YR99'!$4:$66</definedName>
    <definedName name="Z_A41868C1_821A_11D3_AB95_005004875B78_.wvu.PrintArea" localSheetId="15" hidden="1">'YR00-02'!$A$1:$F$56</definedName>
    <definedName name="Z_A41868C1_821A_11D3_AB95_005004875B78_.wvu.PrintArea" localSheetId="14" hidden="1">'YR2000'!$A$1:$F$52</definedName>
    <definedName name="Z_A41868C1_821A_11D3_AB95_005004875B78_.wvu.PrintArea" localSheetId="13" hidden="1">'YR2001'!$A$1:$F$53</definedName>
    <definedName name="Z_A41868C1_821A_11D3_AB95_005004875B78_.wvu.PrintArea" localSheetId="12" hidden="1">'YR2002'!$A$1:$F$53</definedName>
    <definedName name="Z_A41868C1_821A_11D3_AB95_005004875B78_.wvu.PrintArea" localSheetId="10" hidden="1">'YR2003'!$A$1:$F$53</definedName>
    <definedName name="Z_A41868C1_821A_11D3_AB95_005004875B78_.wvu.PrintArea" localSheetId="18" hidden="1">'YR91-93'!$A$1:$F$59</definedName>
    <definedName name="Z_A41868C1_821A_11D3_AB95_005004875B78_.wvu.PrintArea" localSheetId="17" hidden="1">'YR94-96'!$A$1:$F$60</definedName>
    <definedName name="Z_A41868C1_821A_11D3_AB95_005004875B78_.wvu.PrintArea" localSheetId="16" hidden="1">'YR97-99'!$A$1:$F$57</definedName>
    <definedName name="Z_A41868C1_821A_11D3_AB95_005004875B78_.wvu.PrintArea" localSheetId="19" hidden="1">'YR99'!$A$1:$F$61</definedName>
    <definedName name="Z_A8D28600_0B08_11D4_AB98_DE534CCEA343_.wvu.PrintArea" localSheetId="1" hidden="1">'statistics'!$A$1:$J$34</definedName>
    <definedName name="Z_A8D28600_0B08_11D4_AB98_DE534CCEA343_.wvu.PrintArea" localSheetId="0" hidden="1">'status'!$A$1:$C$51</definedName>
    <definedName name="Z_A8D28600_0B08_11D4_AB98_DE534CCEA343_.wvu.PrintArea" localSheetId="15" hidden="1">'YR00-02'!$A$1:$F$57</definedName>
    <definedName name="Z_A8D28600_0B08_11D4_AB98_DE534CCEA343_.wvu.PrintArea" localSheetId="14" hidden="1">'YR2000'!$A$1:$F$57</definedName>
    <definedName name="Z_A8D28600_0B08_11D4_AB98_DE534CCEA343_.wvu.PrintArea" localSheetId="13" hidden="1">'YR2001'!$A$1:$F$57</definedName>
    <definedName name="Z_A8D28600_0B08_11D4_AB98_DE534CCEA343_.wvu.PrintArea" localSheetId="12" hidden="1">'YR2002'!$A$1:$F$57</definedName>
    <definedName name="Z_A8D28600_0B08_11D4_AB98_DE534CCEA343_.wvu.PrintArea" localSheetId="10" hidden="1">'YR2003'!$A$1:$F$57</definedName>
    <definedName name="Z_A8D28600_0B08_11D4_AB98_DE534CCEA343_.wvu.PrintArea" localSheetId="11" hidden="1">'YR91-02'!$A$1:$F$57</definedName>
    <definedName name="Z_A8D28600_0B08_11D4_AB98_DE534CCEA343_.wvu.PrintArea" localSheetId="2" hidden="1">'YR91-09'!$A$1:$F$65</definedName>
    <definedName name="Z_A8D28600_0B08_11D4_AB98_DE534CCEA343_.wvu.PrintArea" localSheetId="18" hidden="1">'YR91-93'!$A$1:$F$63</definedName>
    <definedName name="Z_A8D28600_0B08_11D4_AB98_DE534CCEA343_.wvu.PrintArea" localSheetId="17" hidden="1">'YR94-96'!$A$1:$F$61</definedName>
    <definedName name="Z_A8D28600_0B08_11D4_AB98_DE534CCEA343_.wvu.PrintArea" localSheetId="21" hidden="1">'YR97'!$A$1:$F$66</definedName>
    <definedName name="Z_A8D28600_0B08_11D4_AB98_DE534CCEA343_.wvu.PrintArea" localSheetId="16" hidden="1">'YR97-99'!$A$1:$F$58</definedName>
    <definedName name="Z_A8D28600_0B08_11D4_AB98_DE534CCEA343_.wvu.PrintArea" localSheetId="20" hidden="1">'YR98'!$A$1:$F$66</definedName>
    <definedName name="Z_A8D28600_0B08_11D4_AB98_DE534CCEA343_.wvu.PrintArea" localSheetId="19" hidden="1">'YR99'!$A$1:$F$66</definedName>
    <definedName name="Z_A8D28600_0B08_11D4_AB98_DE534CCEA343_.wvu.Rows" localSheetId="1" hidden="1">'statistics'!$5:$34</definedName>
    <definedName name="Z_A8D28600_0B08_11D4_AB98_DE534CCEA343_.wvu.Rows" localSheetId="15" hidden="1">'YR00-02'!$4:$57</definedName>
    <definedName name="Z_A8D28600_0B08_11D4_AB98_DE534CCEA343_.wvu.Rows" localSheetId="11" hidden="1">'YR91-02'!$4:$57</definedName>
    <definedName name="Z_A8D28600_0B08_11D4_AB98_DE534CCEA343_.wvu.Rows" localSheetId="2" hidden="1">'YR91-09'!$5:$65</definedName>
    <definedName name="Z_A8D28600_0B08_11D4_AB98_DE534CCEA343_.wvu.Rows" localSheetId="18" hidden="1">'YR91-93'!$4:$63</definedName>
    <definedName name="Z_A8D28600_0B08_11D4_AB98_DE534CCEA343_.wvu.Rows" localSheetId="17" hidden="1">'YR94-96'!$4:$61</definedName>
    <definedName name="Z_A8D28600_0B08_11D4_AB98_DE534CCEA343_.wvu.Rows" localSheetId="21" hidden="1">'YR97'!$4:$66</definedName>
    <definedName name="Z_A8D28600_0B08_11D4_AB98_DE534CCEA343_.wvu.Rows" localSheetId="16" hidden="1">'YR97-99'!$4:$58</definedName>
    <definedName name="Z_A8D28600_0B08_11D4_AB98_DE534CCEA343_.wvu.Rows" localSheetId="20" hidden="1">'YR98'!$4:$66</definedName>
    <definedName name="Z_A8D28600_0B08_11D4_AB98_DE534CCEA343_.wvu.Rows" localSheetId="19" hidden="1">'YR99'!$4:$66</definedName>
    <definedName name="Z_A8D28603_0B08_11D4_AB98_DE534CCEA343_.wvu.PrintArea" localSheetId="1" hidden="1">'statistics'!$A$1:$J$33</definedName>
    <definedName name="Z_A8D28603_0B08_11D4_AB98_DE534CCEA343_.wvu.PrintArea" localSheetId="0" hidden="1">'status'!$A$1:$C$52</definedName>
    <definedName name="Z_A8D28603_0B08_11D4_AB98_DE534CCEA343_.wvu.PrintArea" localSheetId="15" hidden="1">'YR00-02'!$A$1:$F$57</definedName>
    <definedName name="Z_A8D28603_0B08_11D4_AB98_DE534CCEA343_.wvu.PrintArea" localSheetId="14" hidden="1">'YR2000'!$A$1:$F$57</definedName>
    <definedName name="Z_A8D28603_0B08_11D4_AB98_DE534CCEA343_.wvu.PrintArea" localSheetId="13" hidden="1">'YR2001'!$A$1:$F$57</definedName>
    <definedName name="Z_A8D28603_0B08_11D4_AB98_DE534CCEA343_.wvu.PrintArea" localSheetId="12" hidden="1">'YR2002'!$A$1:$F$57</definedName>
    <definedName name="Z_A8D28603_0B08_11D4_AB98_DE534CCEA343_.wvu.PrintArea" localSheetId="10" hidden="1">'YR2003'!$A$1:$F$57</definedName>
    <definedName name="Z_A8D28603_0B08_11D4_AB98_DE534CCEA343_.wvu.PrintArea" localSheetId="11" hidden="1">'YR91-02'!$A$1:$F$57</definedName>
    <definedName name="Z_A8D28603_0B08_11D4_AB98_DE534CCEA343_.wvu.PrintArea" localSheetId="2" hidden="1">'YR91-09'!$A$1:$F$65</definedName>
    <definedName name="Z_A8D28603_0B08_11D4_AB98_DE534CCEA343_.wvu.PrintArea" localSheetId="18" hidden="1">'YR91-93'!$A$1:$F$63</definedName>
    <definedName name="Z_A8D28603_0B08_11D4_AB98_DE534CCEA343_.wvu.PrintArea" localSheetId="17" hidden="1">'YR94-96'!$A$1:$F$61</definedName>
    <definedName name="Z_A8D28603_0B08_11D4_AB98_DE534CCEA343_.wvu.PrintArea" localSheetId="21" hidden="1">'YR97'!$A$1:$F$66</definedName>
    <definedName name="Z_A8D28603_0B08_11D4_AB98_DE534CCEA343_.wvu.PrintArea" localSheetId="16" hidden="1">'YR97-99'!$A$1:$F$58</definedName>
    <definedName name="Z_A8D28603_0B08_11D4_AB98_DE534CCEA343_.wvu.PrintArea" localSheetId="20" hidden="1">'YR98'!$A$1:$F$66</definedName>
    <definedName name="Z_A8D28603_0B08_11D4_AB98_DE534CCEA343_.wvu.PrintArea" localSheetId="19" hidden="1">'YR99'!$A$1:$F$66</definedName>
  </definedNames>
  <calcPr fullCalcOnLoad="1"/>
</workbook>
</file>

<file path=xl/comments1.xml><?xml version="1.0" encoding="utf-8"?>
<comments xmlns="http://schemas.openxmlformats.org/spreadsheetml/2006/main">
  <authors>
    <author>UNON</author>
    <author>Theodor N. Kapiga</author>
    <author>unon</author>
  </authors>
  <commentList>
    <comment ref="B22" authorId="0">
      <text>
        <r>
          <rPr>
            <b/>
            <sz val="12"/>
            <rFont val="Arial Narrow"/>
            <family val="2"/>
          </rPr>
          <t>Inputs to cells come from the net approvals for which resources are transferred.</t>
        </r>
      </text>
    </comment>
    <comment ref="C31" authorId="0">
      <text>
        <r>
          <rPr>
            <b/>
            <sz val="12"/>
            <rFont val="Arial Narrow"/>
            <family val="2"/>
          </rPr>
          <t>Secretariat costs and its programme support costs from the aggregated historical statistics and commitments of the main Secretariat project.</t>
        </r>
      </text>
    </comment>
    <comment ref="C33" authorId="0">
      <text>
        <r>
          <rPr>
            <b/>
            <sz val="12"/>
            <rFont val="Arial Narrow"/>
            <family val="2"/>
          </rPr>
          <t>Monitoring &amp; Evaluation costs from the aggregated historical statistics and commitments of the project.</t>
        </r>
      </text>
    </comment>
    <comment ref="A8" authorId="1">
      <text>
        <r>
          <rPr>
            <b/>
            <sz val="12"/>
            <rFont val="Arial Narrow"/>
            <family val="2"/>
          </rPr>
          <t>Input the date of the status here and it is automatically picked by the other sheets.</t>
        </r>
      </text>
    </comment>
    <comment ref="C38" authorId="0">
      <text>
        <r>
          <rPr>
            <b/>
            <sz val="12"/>
            <rFont val="Arial Narrow"/>
            <family val="2"/>
          </rPr>
          <t xml:space="preserve">The gain or loss resulting from the calculations of the implementation of FERM/ PN USERS  less actual gain on exchange </t>
        </r>
      </text>
    </comment>
    <comment ref="C39" authorId="0">
      <text>
        <r>
          <rPr>
            <b/>
            <sz val="12"/>
            <rFont val="Arial Narrow"/>
            <family val="2"/>
          </rPr>
          <t xml:space="preserve">The gain or loss resulting from the calculations of the implementation of FERM/ PN USERS  less actual gain on exchange </t>
        </r>
      </text>
    </comment>
    <comment ref="B36" authorId="2">
      <text>
        <r>
          <rPr>
            <b/>
            <sz val="8"/>
            <rFont val="Tahoma"/>
            <family val="0"/>
          </rPr>
          <t>unon: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ajibadem</author>
  </authors>
  <commentList>
    <comment ref="F19" authorId="0">
      <text>
        <r>
          <rPr>
            <b/>
            <sz val="8"/>
            <rFont val="Tahoma"/>
            <family val="0"/>
          </rPr>
          <t>ajibadem:</t>
        </r>
        <r>
          <rPr>
            <sz val="8"/>
            <rFont val="Tahoma"/>
            <family val="0"/>
          </rPr>
          <t xml:space="preserve">
US $68190 is interest reported by UNDP on Australia's returned funds
</t>
        </r>
      </text>
    </comment>
  </commentList>
</comments>
</file>

<file path=xl/comments3.xml><?xml version="1.0" encoding="utf-8"?>
<comments xmlns="http://schemas.openxmlformats.org/spreadsheetml/2006/main">
  <authors>
    <author>ajibadem</author>
  </authors>
  <commentList>
    <comment ref="G59" authorId="0">
      <text>
        <r>
          <rPr>
            <b/>
            <sz val="8"/>
            <rFont val="Tahoma"/>
            <family val="0"/>
          </rPr>
          <t>ajibadem:</t>
        </r>
        <r>
          <rPr>
            <sz val="8"/>
            <rFont val="Tahoma"/>
            <family val="0"/>
          </rPr>
          <t xml:space="preserve">
Agree amount to what is on the Status main page.</t>
        </r>
      </text>
    </comment>
  </commentList>
</comments>
</file>

<file path=xl/sharedStrings.xml><?xml version="1.0" encoding="utf-8"?>
<sst xmlns="http://schemas.openxmlformats.org/spreadsheetml/2006/main" count="1611" uniqueCount="267">
  <si>
    <t xml:space="preserve"> </t>
  </si>
  <si>
    <t>TRUST  FUND FOR THE  MULTILATERAL FUND FOR THE IMPLEMENTATION OF THE MONTREAL PROTOCOL</t>
  </si>
  <si>
    <t>TOTAL</t>
  </si>
  <si>
    <t>Cash Payments</t>
  </si>
  <si>
    <t>Bilateral Assistance</t>
  </si>
  <si>
    <t>Promissory Notes</t>
  </si>
  <si>
    <t>1991-1993</t>
  </si>
  <si>
    <t>1994-1996</t>
  </si>
  <si>
    <t>1997-1999</t>
  </si>
  <si>
    <t>Party</t>
  </si>
  <si>
    <t>Australia</t>
  </si>
  <si>
    <t>Austria</t>
  </si>
  <si>
    <t>Azerbaijan</t>
  </si>
  <si>
    <t>Belarus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</si>
  <si>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</si>
  <si>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</si>
  <si>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</si>
  <si>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</si>
  <si>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</si>
  <si>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</si>
  <si>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</si>
  <si>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</si>
  <si>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</si>
  <si>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</si>
  <si>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</si>
  <si>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</si>
  <si>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</si>
  <si>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Liechtenstein</t>
  </si>
  <si>
    <t>Lithuania</t>
  </si>
  <si>
    <t>Luxembourg</t>
  </si>
  <si>
    <t>Monaco</t>
  </si>
  <si>
    <t>Netherlands</t>
  </si>
  <si>
    <t>New Zealand</t>
  </si>
  <si>
    <t>Norway</t>
  </si>
  <si>
    <t>Poland</t>
  </si>
  <si>
    <t>Portugal</t>
  </si>
  <si>
    <t>Russian Federation</t>
  </si>
  <si>
    <t>Slovakia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</si>
  <si>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</si>
  <si>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</si>
  <si>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</si>
  <si>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</si>
  <si>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</si>
  <si>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</si>
  <si>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</si>
  <si>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United States of America</t>
  </si>
  <si>
    <t>Uzbekistan</t>
  </si>
  <si>
    <t>Brunei Darussalam</t>
  </si>
  <si>
    <t>Bulgaria</t>
  </si>
  <si>
    <t>Cyprus</t>
  </si>
  <si>
    <t>Georgia</t>
  </si>
  <si>
    <t>Kuwait</t>
  </si>
  <si>
    <t>Latvia</t>
  </si>
  <si>
    <t>Malta</t>
  </si>
  <si>
    <t>Panama</t>
  </si>
  <si>
    <t>Singapore</t>
  </si>
  <si>
    <t>Slovenia</t>
  </si>
  <si>
    <t>South Africa</t>
  </si>
  <si>
    <t>United Arab Emirates</t>
  </si>
  <si>
    <t>SUB-TOTAL</t>
  </si>
  <si>
    <t>Agreed Contributions</t>
  </si>
  <si>
    <t>Outstanding Contributions</t>
  </si>
  <si>
    <t>Estonia</t>
  </si>
  <si>
    <t>Disputed Contributions</t>
  </si>
  <si>
    <t>Japan</t>
  </si>
  <si>
    <t xml:space="preserve">Austria </t>
  </si>
  <si>
    <t>Disputed Contributions (**)</t>
  </si>
  <si>
    <t>CEITs</t>
  </si>
  <si>
    <t>Japan(*)</t>
  </si>
  <si>
    <r>
      <t>NB:</t>
    </r>
    <r>
      <rPr>
        <sz val="12"/>
        <rFont val="Times New Roman"/>
        <family val="1"/>
      </rPr>
      <t xml:space="preserve">    (*)    Outstanding contribution withheld for bilateral cooperation.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</si>
  <si>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1999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</si>
  <si>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1998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</si>
  <si>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1997</t>
    </r>
  </si>
  <si>
    <t>NB:   (**)  Amounts for France, Germany, Italy, Japan and the United Kingdom  netted off from the 1996 contributions and are shown here for records only.</t>
  </si>
  <si>
    <r>
      <t xml:space="preserve">Status of Contributions for </t>
    </r>
    <r>
      <rPr>
        <b/>
        <u val="single"/>
        <sz val="12"/>
        <rFont val="Times New Roman"/>
        <family val="1"/>
      </rPr>
      <t>1996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</si>
  <si>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1991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</si>
  <si>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1992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</si>
  <si>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1993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</si>
  <si>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1994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</si>
  <si>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1995</t>
    </r>
  </si>
  <si>
    <t>Disputed Contributions(**)</t>
  </si>
  <si>
    <t xml:space="preserve">Page  13 </t>
  </si>
  <si>
    <t xml:space="preserve">Page  19 </t>
  </si>
  <si>
    <t xml:space="preserve">Page  17 </t>
  </si>
  <si>
    <t xml:space="preserve">Page  15 </t>
  </si>
  <si>
    <t>2000-2002</t>
  </si>
  <si>
    <t xml:space="preserve">Page  14 </t>
  </si>
  <si>
    <t xml:space="preserve">Page  16 </t>
  </si>
  <si>
    <t xml:space="preserve">Page  20 </t>
  </si>
  <si>
    <t xml:space="preserve">Page  21 </t>
  </si>
  <si>
    <t xml:space="preserve">Page  18 </t>
  </si>
  <si>
    <t xml:space="preserve">Sweden </t>
  </si>
  <si>
    <t xml:space="preserve">Canada </t>
  </si>
  <si>
    <t xml:space="preserve">Ireland </t>
  </si>
  <si>
    <t>Page  13</t>
  </si>
  <si>
    <t>this fig. added and needs support 543832</t>
  </si>
  <si>
    <t>Slovak Republic</t>
  </si>
  <si>
    <t>Belgium 1/</t>
  </si>
  <si>
    <t>1/ $108,480 transferred from bilateral cooperation to cash contribution as bilateral was not utilised, but cash paid instead.</t>
  </si>
  <si>
    <t xml:space="preserve">France </t>
  </si>
  <si>
    <t xml:space="preserve">Germany </t>
  </si>
  <si>
    <t>Page  8</t>
  </si>
  <si>
    <t xml:space="preserve">Page  9 </t>
  </si>
  <si>
    <t>Page  10</t>
  </si>
  <si>
    <t xml:space="preserve">Page  11 </t>
  </si>
  <si>
    <t>Page  12</t>
  </si>
  <si>
    <t>Page  14</t>
  </si>
  <si>
    <t xml:space="preserve">Japan </t>
  </si>
  <si>
    <t>Italy*</t>
  </si>
  <si>
    <t>* Italy's bilateral cooperation amount was approved at the 46th meeting in 2005.</t>
  </si>
  <si>
    <t>2003-2005</t>
  </si>
  <si>
    <t>1991-2008</t>
  </si>
  <si>
    <r>
      <t xml:space="preserve">Table 8 : Status of Contributions for </t>
    </r>
    <r>
      <rPr>
        <b/>
        <u val="single"/>
        <sz val="10"/>
        <rFont val="CG Times"/>
        <family val="1"/>
      </rPr>
      <t>2005</t>
    </r>
  </si>
  <si>
    <r>
      <t xml:space="preserve">Table 9 : Status of Contributions for </t>
    </r>
    <r>
      <rPr>
        <b/>
        <u val="single"/>
        <sz val="10"/>
        <rFont val="CG Times"/>
        <family val="1"/>
      </rPr>
      <t>2004</t>
    </r>
  </si>
  <si>
    <r>
      <t xml:space="preserve">Table 10 : Status of Contributions for </t>
    </r>
    <r>
      <rPr>
        <b/>
        <u val="single"/>
        <sz val="12"/>
        <rFont val="Times New Roman"/>
        <family val="1"/>
      </rPr>
      <t>2003</t>
    </r>
  </si>
  <si>
    <r>
      <t xml:space="preserve">Table 11: </t>
    </r>
    <r>
      <rPr>
        <b/>
        <u val="single"/>
        <sz val="12"/>
        <rFont val="Times New Roman"/>
        <family val="1"/>
      </rPr>
      <t>1991-2002</t>
    </r>
    <r>
      <rPr>
        <b/>
        <sz val="12"/>
        <rFont val="Times New Roman"/>
        <family val="1"/>
      </rPr>
      <t xml:space="preserve">  Summary Status of Contributions</t>
    </r>
  </si>
  <si>
    <r>
      <t xml:space="preserve">Table 12 : Status of Contributions for </t>
    </r>
    <r>
      <rPr>
        <b/>
        <u val="single"/>
        <sz val="12"/>
        <rFont val="Times New Roman"/>
        <family val="1"/>
      </rPr>
      <t>2002</t>
    </r>
  </si>
  <si>
    <r>
      <t xml:space="preserve">Table 13: Status of Contributions for </t>
    </r>
    <r>
      <rPr>
        <b/>
        <u val="single"/>
        <sz val="12"/>
        <rFont val="Times New Roman"/>
        <family val="1"/>
      </rPr>
      <t>2001</t>
    </r>
  </si>
  <si>
    <r>
      <t xml:space="preserve">Table 14: Status of Contributions for </t>
    </r>
    <r>
      <rPr>
        <b/>
        <u val="single"/>
        <sz val="12"/>
        <rFont val="Times New Roman"/>
        <family val="1"/>
      </rPr>
      <t>2000</t>
    </r>
  </si>
  <si>
    <r>
      <t xml:space="preserve">Table 15: Status of Contributions for </t>
    </r>
    <r>
      <rPr>
        <b/>
        <u val="single"/>
        <sz val="12"/>
        <rFont val="Times New Roman"/>
        <family val="1"/>
      </rPr>
      <t>2000 - 2002</t>
    </r>
  </si>
  <si>
    <r>
      <t xml:space="preserve">Table 16: Status of Contributions for </t>
    </r>
    <r>
      <rPr>
        <b/>
        <u val="single"/>
        <sz val="12"/>
        <rFont val="Times New Roman"/>
        <family val="1"/>
      </rPr>
      <t>1997 - 1999</t>
    </r>
  </si>
  <si>
    <r>
      <t xml:space="preserve">Table 17: Status of Contributions for </t>
    </r>
    <r>
      <rPr>
        <b/>
        <u val="single"/>
        <sz val="12"/>
        <rFont val="Times New Roman"/>
        <family val="1"/>
      </rPr>
      <t>1994 - 1996</t>
    </r>
  </si>
  <si>
    <r>
      <t xml:space="preserve">Table 18: Status of Contributions for </t>
    </r>
    <r>
      <rPr>
        <b/>
        <u val="single"/>
        <sz val="12"/>
        <rFont val="Times New Roman"/>
        <family val="1"/>
      </rPr>
      <t>1991 - 1993</t>
    </r>
  </si>
  <si>
    <t>Page 11</t>
  </si>
  <si>
    <t>Page 12</t>
  </si>
  <si>
    <t>FONDO FIDUCIARIO DEL FONDO MULTILATERAL PARA LA APLICACIÓN DEL PROTOCOLO DE MONTREAL</t>
  </si>
  <si>
    <t>INGRESO</t>
  </si>
  <si>
    <t>Contribuciones recibidas:</t>
  </si>
  <si>
    <t xml:space="preserve"> -     Pagos efectivos y pagarés cobrados</t>
  </si>
  <si>
    <t xml:space="preserve"> -     Pagarés retenidos</t>
  </si>
  <si>
    <t xml:space="preserve"> -     Cooperación bilateral</t>
  </si>
  <si>
    <t xml:space="preserve"> -     Intereses devengados</t>
  </si>
  <si>
    <t xml:space="preserve"> -     Ingresos varios</t>
  </si>
  <si>
    <t>Total de ingreso</t>
  </si>
  <si>
    <t>ASIGNACIONES* Y PREVISIONES</t>
  </si>
  <si>
    <t xml:space="preserve"> -     PNUD </t>
  </si>
  <si>
    <t xml:space="preserve"> -     PNUMA</t>
  </si>
  <si>
    <t xml:space="preserve"> -     ONUDI</t>
  </si>
  <si>
    <t xml:space="preserve"> -     Banco Mundial</t>
  </si>
  <si>
    <t>Menos ajustes</t>
  </si>
  <si>
    <t>Total asignaciones a los organismos de ejecución</t>
  </si>
  <si>
    <t>Gastos de Auditoría Técnica (1998 - 2005)</t>
  </si>
  <si>
    <t>Gastos de Información de Estrategia (2003 - 2004)</t>
  </si>
  <si>
    <t xml:space="preserve">       -  incluida la previsión de costo de mantenimiento de red para 2004</t>
  </si>
  <si>
    <t>Cooperación bilateral</t>
  </si>
  <si>
    <t>Previsión para las fluctuaciones del mecanismo de tipos de cambio fijos</t>
  </si>
  <si>
    <t xml:space="preserve"> -     pérdidas / (ganancias) en valor</t>
  </si>
  <si>
    <t>Efectivo</t>
  </si>
  <si>
    <t xml:space="preserve">       Pagarés</t>
  </si>
  <si>
    <t>SALDO DISPONIBLE PARA NUEVAS ASIGNACIONES</t>
  </si>
  <si>
    <t xml:space="preserve">* Las cantidades tienen en cuenta las aprobaciones netas para las que se han transferido recursos —pagarés inclusive— </t>
  </si>
  <si>
    <t>que todavía no han sido cobrados por los Organismos de Ejecución. Esto refleja los números del inventario</t>
  </si>
  <si>
    <t>de la Secretaría sobre las cantidades aprobadas netas. Estos números aún han de ser revisados en el</t>
  </si>
  <si>
    <t>ejercicio de conciliación permanente.</t>
  </si>
  <si>
    <t>Descripción</t>
  </si>
  <si>
    <t>Contribuciones prometidas</t>
  </si>
  <si>
    <t>Pagos en efectivo</t>
  </si>
  <si>
    <t>Asistencia bilateral</t>
  </si>
  <si>
    <t>Pagarés</t>
  </si>
  <si>
    <t>Total de pagos</t>
  </si>
  <si>
    <t>Contribuciones disputadas</t>
  </si>
  <si>
    <t>Promesas pendientes</t>
  </si>
  <si>
    <t>Porcentaje de pagos/promesa</t>
  </si>
  <si>
    <t>Interés devengado</t>
  </si>
  <si>
    <t>Ingresos varios</t>
  </si>
  <si>
    <t>TOTAL DE INGRESOS</t>
  </si>
  <si>
    <t>Cifras acumuladas</t>
  </si>
  <si>
    <t>Total de promesas</t>
  </si>
  <si>
    <t>Total de ingresos</t>
  </si>
  <si>
    <t>Total de contribuciones pendientes</t>
  </si>
  <si>
    <t>Como % de promesas totales</t>
  </si>
  <si>
    <t xml:space="preserve">Contribuciones pendientes de ciertos Países con economías en transición </t>
  </si>
  <si>
    <t>Porcentaje de promesas de contribuciones de Países con economías en transición</t>
  </si>
  <si>
    <t>FONDO FIDUCIARIO DEL FONDO MULTILATERAL  PARA LA APLICACIÓN DEL PROTOCOLO DE MONTREAL</t>
  </si>
  <si>
    <t>Australia*</t>
  </si>
  <si>
    <t>Azerbaiyán</t>
  </si>
  <si>
    <t>Belarús</t>
  </si>
  <si>
    <t>Bélgica</t>
  </si>
  <si>
    <t>Canadá*</t>
  </si>
  <si>
    <t>Chipre</t>
  </si>
  <si>
    <t>República Checa</t>
  </si>
  <si>
    <t>Dinamarca</t>
  </si>
  <si>
    <t>Finlandia</t>
  </si>
  <si>
    <t>Francia</t>
  </si>
  <si>
    <t>Alemania</t>
  </si>
  <si>
    <t>Grecia</t>
  </si>
  <si>
    <t>Hungría</t>
  </si>
  <si>
    <t>Islandia</t>
  </si>
  <si>
    <t>Irlanda</t>
  </si>
  <si>
    <t>Italia</t>
  </si>
  <si>
    <t xml:space="preserve">Japón </t>
  </si>
  <si>
    <t>Letonia</t>
  </si>
  <si>
    <t>Lituania</t>
  </si>
  <si>
    <t>Luxemburgo</t>
  </si>
  <si>
    <t>Mónaco</t>
  </si>
  <si>
    <t>Países Bajos</t>
  </si>
  <si>
    <t>Nueva Zelandia</t>
  </si>
  <si>
    <t>Noruega</t>
  </si>
  <si>
    <t>Panamá</t>
  </si>
  <si>
    <t>Polonia</t>
  </si>
  <si>
    <t>Rumanía</t>
  </si>
  <si>
    <t>Federación de Rusia</t>
  </si>
  <si>
    <t>Singapur</t>
  </si>
  <si>
    <t>Eslovaquia</t>
  </si>
  <si>
    <t>Eslovenia</t>
  </si>
  <si>
    <t>Sudáfrica</t>
  </si>
  <si>
    <t>España</t>
  </si>
  <si>
    <t>Suecia</t>
  </si>
  <si>
    <t>Suiza</t>
  </si>
  <si>
    <t>Tayikistán</t>
  </si>
  <si>
    <t>Ucrania</t>
  </si>
  <si>
    <t>Emiratos Arabes Unidos</t>
  </si>
  <si>
    <t>Reino Unido</t>
  </si>
  <si>
    <t>Estados Unidos de América</t>
  </si>
  <si>
    <t>Uzbekistán</t>
  </si>
  <si>
    <t>Página  6</t>
  </si>
  <si>
    <t>Parte</t>
  </si>
  <si>
    <t>Contribuciones convenidas</t>
  </si>
  <si>
    <t>Contribuciones pendientes</t>
  </si>
  <si>
    <t>Tipo de cambio (Pérdidas) / ganancias NB:Monto negativo = Ganancia</t>
  </si>
  <si>
    <t>Canadá</t>
  </si>
  <si>
    <t>Alemania*</t>
  </si>
  <si>
    <t xml:space="preserve">Alemania </t>
  </si>
  <si>
    <t>Japón</t>
  </si>
  <si>
    <t>PS: Los Países con economías en transición son Azerbaiyán, Belarús, Bulgaria, República Checa, Estonia, Hungria, Letonia, Lituania,Polonia, Federación de Rusia, Eslovaquia, Eslovenia, Tayikistán, Turkmenistán, Ucrania y Uzbekistán</t>
  </si>
  <si>
    <t>NB: (*)  La asistencia bilateral registrada para Australia y Canadá fue ajustada siguiendo las aprobaciones en la 39a reunión y tomando en consideración una reconciliación hecha por la Secretaria durante los informes sobre la marcha de las actividades presentados a la 40a Reunión para leer: 1 208 219 $EUA y 6 449 438 $EUA en vez de 1 300 088 $EUA y 6 414 880 $EUA respectivamente.</t>
  </si>
  <si>
    <t>Total de asignaciones y previsiones</t>
  </si>
  <si>
    <t>Página 4</t>
  </si>
  <si>
    <t>2006-2008</t>
  </si>
  <si>
    <t>1991-2009</t>
  </si>
  <si>
    <t>Tabla 1 : SITUACIÓN DEL FONDO PARA 1991-2009  (EN $EUA )</t>
  </si>
  <si>
    <t>Gastos de la Secretaría y del Comité Ejecutivo (1991 -2009)</t>
  </si>
  <si>
    <t xml:space="preserve"> -  incluida la previsión de contratos al personal hasta 2011</t>
  </si>
  <si>
    <t>La tasa del Tesorero (2003-2009)</t>
  </si>
  <si>
    <t>Tabla 3: Resumen de Situación de las Contribuciones para 1991-2009</t>
  </si>
  <si>
    <t>Turkmenistán*</t>
  </si>
  <si>
    <t>Contribuciones en litigio (**)</t>
  </si>
  <si>
    <r>
      <t xml:space="preserve">Tabla 4 : Situación de las Contribuciones para </t>
    </r>
    <r>
      <rPr>
        <b/>
        <u val="single"/>
        <sz val="10"/>
        <rFont val="CG Times"/>
        <family val="1"/>
      </rPr>
      <t>2009</t>
    </r>
  </si>
  <si>
    <t>Al 27 de marzo de 2009</t>
  </si>
  <si>
    <t>Estados Unidos de América(*)</t>
  </si>
  <si>
    <t>Tabla 7 : Situación de las Contribuciones para 2006</t>
  </si>
  <si>
    <t>Tabla 6 : Situación de las Contribuciones para 2007</t>
  </si>
  <si>
    <r>
      <t xml:space="preserve">Tabla 8 : Situación de las Contribuciones para </t>
    </r>
    <r>
      <rPr>
        <b/>
        <u val="single"/>
        <sz val="10"/>
        <rFont val="CG Times"/>
        <family val="0"/>
      </rPr>
      <t>2006-2008</t>
    </r>
  </si>
  <si>
    <t>Página 5</t>
  </si>
  <si>
    <t>Tabla 2 : RESUMEN DE SITUACIÓN DE LAS CONTRIBUCIONES Y OTROS INGRESOS PARA 1991 - 2009</t>
  </si>
  <si>
    <r>
      <t xml:space="preserve">Tabla 5 : Situación de las Contribuciones para </t>
    </r>
    <r>
      <rPr>
        <b/>
        <u val="single"/>
        <sz val="10"/>
        <rFont val="CG Times"/>
        <family val="1"/>
      </rPr>
      <t>2008</t>
    </r>
  </si>
  <si>
    <t>Gastos de Supervisión y Evaluación (1999 - 2009)</t>
  </si>
  <si>
    <t>Página 1</t>
  </si>
  <si>
    <t>Página 2</t>
  </si>
  <si>
    <t>UNEP/OzL.Pro/ExCom/57/L.1</t>
  </si>
  <si>
    <t>Página 3</t>
  </si>
  <si>
    <t>Página  7</t>
  </si>
  <si>
    <t>Página 8</t>
  </si>
  <si>
    <t>Anexo I</t>
  </si>
  <si>
    <t>Contribuciones en litigio **</t>
  </si>
  <si>
    <t>Contribuciones en litigio (*)</t>
  </si>
  <si>
    <t xml:space="preserve">       -      ingresos adicionales de los préstamos y otras fuentes  </t>
  </si>
  <si>
    <t xml:space="preserve">         -     Proyectos que no son determinados con beneficios climáticos</t>
  </si>
  <si>
    <t>Ingresos adicionales</t>
  </si>
  <si>
    <t>** El saldo de las contribuciones en litigio de los Estados Unidos de 32,869,133 $EUA de los cuales 14,889,724 se aplicaron al año 2007.</t>
  </si>
  <si>
    <t xml:space="preserve">- Los montos para Francia, Alemania, Italia, Japón y Reino  Unido se han descontado de las contribuciones para 1996 y se muestran aqui solo a los fines del registro. El monto para los Estados Unidos se ha descontado de las contribuciones de 2007 y 2008.    </t>
  </si>
  <si>
    <t>(*) De acuerdo con las Decisiones VI/5 y XVI/39 de la Reunión de las Partes del Protocolo de Montreal, Turkmenistán ha sido reclasificado como amparado bajo el Artículo 5 en 2004 y por lo tanto su contribución de  5 764 $EUA para 2005 no debe ser tomada en cuenta</t>
  </si>
  <si>
    <t>(*) Parte de las contribuciones en litigio de 32,869,133 $EUA compensada en parte en 2007 y en totalidad en 2008.</t>
  </si>
  <si>
    <t xml:space="preserve">Países con economías en transición </t>
  </si>
  <si>
    <t>*La asistencia bilateral de 353 814 $EUA aprobada en la 52a Réunión del Comité Ejecutivo, que se aplicó en 2008.</t>
  </si>
  <si>
    <t>*La asistencia bilateral de 572 817 $EUA, aprobada en la 51ª Reunión del Comité Ejecutivo, que se aplicó en 2008.</t>
  </si>
  <si>
    <t>No programados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</si>
</sst>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$&quot;_-;#,##0\ &quot;$&quot;\-"/>
    <numFmt numFmtId="179" formatCode="#,##0\ &quot;$&quot;_-;[Red]#,##0\ &quot;$&quot;\-"/>
    <numFmt numFmtId="180" formatCode="#,##0.00\ &quot;$&quot;_-;#,##0.00\ &quot;$&quot;\-"/>
    <numFmt numFmtId="181" formatCode="#,##0.00\ &quot;$&quot;_-;[Red]#,##0.00\ &quot;$&quot;\-"/>
    <numFmt numFmtId="182" formatCode="_-* #,##0\ &quot;$&quot;_-;_-* #,##0\ &quot;$&quot;\-;_-* &quot;-&quot;\ &quot;$&quot;_-;_-@_-"/>
    <numFmt numFmtId="183" formatCode="_-* #,##0\ _$_-;_-* #,##0\ _$\-;_-* &quot;-&quot;\ _$_-;_-@_-"/>
    <numFmt numFmtId="184" formatCode="_-* #,##0.00\ &quot;$&quot;_-;_-* #,##0.00\ &quot;$&quot;\-;_-* &quot;-&quot;??\ &quot;$&quot;_-;_-@_-"/>
    <numFmt numFmtId="185" formatCode="_-* #,##0.00\ _$_-;_-* #,##0.00\ _$\-;_-* &quot;-&quot;??\ _$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General_)"/>
    <numFmt numFmtId="195" formatCode="#."/>
    <numFmt numFmtId="196" formatCode="_(* #,##0_);_(* \(#,##0\);_(* &quot;-&quot;??_);_(@_)"/>
    <numFmt numFmtId="197" formatCode="#,##0;[Red]\(#,##0\)"/>
    <numFmt numFmtId="198" formatCode="#,##0\ _$;\(#,##0\)\ _$"/>
    <numFmt numFmtId="199" formatCode="0.00;[Red]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b/>
      <sz val="12"/>
      <color indexed="16"/>
      <name val="Courier"/>
      <family val="0"/>
    </font>
    <font>
      <b/>
      <sz val="12"/>
      <color indexed="8"/>
      <name val="CG Times (W1)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Courier"/>
      <family val="0"/>
    </font>
    <font>
      <sz val="11"/>
      <name val="Times New Roman"/>
      <family val="1"/>
    </font>
    <font>
      <sz val="12"/>
      <color indexed="8"/>
      <name val="CG Times (W1)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CG Times (W1)"/>
      <family val="0"/>
    </font>
    <font>
      <b/>
      <sz val="12"/>
      <name val="Arial Narrow"/>
      <family val="2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Times New Roman"/>
      <family val="1"/>
    </font>
    <font>
      <sz val="10"/>
      <color indexed="8"/>
      <name val="Arial Narrow"/>
      <family val="2"/>
    </font>
    <font>
      <sz val="10"/>
      <color indexed="8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u val="single"/>
      <sz val="10"/>
      <name val="CG Times"/>
      <family val="1"/>
    </font>
    <font>
      <b/>
      <sz val="10"/>
      <color indexed="8"/>
      <name val="CG Times"/>
      <family val="1"/>
    </font>
    <font>
      <sz val="10"/>
      <color indexed="8"/>
      <name val="CG Times (W1)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CG Times"/>
      <family val="1"/>
    </font>
    <font>
      <sz val="12"/>
      <color indexed="8"/>
      <name val="CG Times"/>
      <family val="1"/>
    </font>
    <font>
      <sz val="8"/>
      <name val="Courier"/>
      <family val="0"/>
    </font>
    <font>
      <sz val="10"/>
      <name val="Courier"/>
      <family val="0"/>
    </font>
    <font>
      <b/>
      <sz val="12"/>
      <name val="CG Times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1.5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.5"/>
      <color indexed="8"/>
      <name val="Verdana"/>
      <family val="2"/>
    </font>
    <font>
      <sz val="11"/>
      <name val="Courier"/>
      <family val="0"/>
    </font>
    <font>
      <b/>
      <sz val="8"/>
      <name val="Courie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5" fontId="5" fillId="0" borderId="0">
      <alignment/>
      <protection locked="0"/>
    </xf>
    <xf numFmtId="195" fontId="5" fillId="0" borderId="0">
      <alignment/>
      <protection locked="0"/>
    </xf>
    <xf numFmtId="0" fontId="20" fillId="0" borderId="0" applyNumberFormat="0" applyFill="0" applyBorder="0" applyAlignment="0" applyProtection="0"/>
    <xf numFmtId="195" fontId="6" fillId="0" borderId="0">
      <alignment/>
      <protection locked="0"/>
    </xf>
    <xf numFmtId="195" fontId="6" fillId="0" borderId="0">
      <alignment/>
      <protection locked="0"/>
    </xf>
    <xf numFmtId="0" fontId="1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195" fontId="5" fillId="0" borderId="1">
      <alignment/>
      <protection locked="0"/>
    </xf>
  </cellStyleXfs>
  <cellXfs count="402">
    <xf numFmtId="194" fontId="0" fillId="0" borderId="0" xfId="0" applyAlignment="1">
      <alignment/>
    </xf>
    <xf numFmtId="196" fontId="8" fillId="0" borderId="0" xfId="15" applyNumberFormat="1" applyFont="1" applyAlignment="1">
      <alignment/>
    </xf>
    <xf numFmtId="194" fontId="8" fillId="0" borderId="0" xfId="0" applyFont="1" applyAlignment="1">
      <alignment/>
    </xf>
    <xf numFmtId="194" fontId="8" fillId="0" borderId="0" xfId="0" applyFont="1" applyBorder="1" applyAlignment="1">
      <alignment/>
    </xf>
    <xf numFmtId="194" fontId="8" fillId="0" borderId="0" xfId="0" applyFont="1" applyAlignment="1">
      <alignment horizontal="right"/>
    </xf>
    <xf numFmtId="194" fontId="8" fillId="0" borderId="0" xfId="0" applyFont="1" applyAlignment="1">
      <alignment horizontal="left"/>
    </xf>
    <xf numFmtId="194" fontId="8" fillId="0" borderId="0" xfId="0" applyFont="1" applyAlignment="1">
      <alignment horizontal="centerContinuous" vertical="top"/>
    </xf>
    <xf numFmtId="194" fontId="0" fillId="0" borderId="0" xfId="0" applyFont="1" applyAlignment="1">
      <alignment/>
    </xf>
    <xf numFmtId="194" fontId="8" fillId="0" borderId="0" xfId="0" applyFont="1" applyBorder="1" applyAlignment="1">
      <alignment horizontal="centerContinuous" vertical="top"/>
    </xf>
    <xf numFmtId="37" fontId="10" fillId="0" borderId="2" xfId="0" applyNumberFormat="1" applyFont="1" applyFill="1" applyBorder="1" applyAlignment="1" applyProtection="1">
      <alignment horizontal="centerContinuous" vertical="top" wrapText="1"/>
      <protection/>
    </xf>
    <xf numFmtId="37" fontId="10" fillId="0" borderId="3" xfId="0" applyNumberFormat="1" applyFont="1" applyFill="1" applyBorder="1" applyAlignment="1" applyProtection="1">
      <alignment horizontal="centerContinuous" vertical="top" wrapText="1"/>
      <protection/>
    </xf>
    <xf numFmtId="197" fontId="14" fillId="0" borderId="4" xfId="0" applyNumberFormat="1" applyFont="1" applyFill="1" applyBorder="1" applyAlignment="1" applyProtection="1">
      <alignment vertical="center"/>
      <protection/>
    </xf>
    <xf numFmtId="194" fontId="8" fillId="0" borderId="0" xfId="0" applyFont="1" applyAlignment="1">
      <alignment vertical="center"/>
    </xf>
    <xf numFmtId="196" fontId="8" fillId="0" borderId="0" xfId="15" applyNumberFormat="1" applyFont="1" applyAlignment="1">
      <alignment vertical="center"/>
    </xf>
    <xf numFmtId="197" fontId="14" fillId="0" borderId="5" xfId="0" applyNumberFormat="1" applyFont="1" applyFill="1" applyBorder="1" applyAlignment="1" applyProtection="1">
      <alignment vertical="center"/>
      <protection/>
    </xf>
    <xf numFmtId="197" fontId="14" fillId="0" borderId="6" xfId="0" applyNumberFormat="1" applyFont="1" applyFill="1" applyBorder="1" applyAlignment="1" applyProtection="1">
      <alignment vertical="center"/>
      <protection/>
    </xf>
    <xf numFmtId="197" fontId="11" fillId="0" borderId="2" xfId="15" applyNumberFormat="1" applyFont="1" applyBorder="1" applyAlignment="1">
      <alignment vertical="center"/>
    </xf>
    <xf numFmtId="197" fontId="10" fillId="0" borderId="7" xfId="0" applyNumberFormat="1" applyFont="1" applyFill="1" applyBorder="1" applyAlignment="1" applyProtection="1">
      <alignment vertical="center"/>
      <protection/>
    </xf>
    <xf numFmtId="197" fontId="10" fillId="0" borderId="2" xfId="0" applyNumberFormat="1" applyFont="1" applyFill="1" applyBorder="1" applyAlignment="1" applyProtection="1">
      <alignment vertical="center"/>
      <protection/>
    </xf>
    <xf numFmtId="197" fontId="7" fillId="0" borderId="3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left" vertical="center"/>
      <protection locked="0"/>
    </xf>
    <xf numFmtId="197" fontId="14" fillId="0" borderId="8" xfId="0" applyNumberFormat="1" applyFont="1" applyFill="1" applyBorder="1" applyAlignment="1" applyProtection="1">
      <alignment vertical="center"/>
      <protection/>
    </xf>
    <xf numFmtId="197" fontId="14" fillId="0" borderId="9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vertical="center"/>
      <protection/>
    </xf>
    <xf numFmtId="197" fontId="14" fillId="0" borderId="11" xfId="0" applyNumberFormat="1" applyFont="1" applyFill="1" applyBorder="1" applyAlignment="1" applyProtection="1">
      <alignment vertical="center"/>
      <protection/>
    </xf>
    <xf numFmtId="197" fontId="14" fillId="0" borderId="12" xfId="0" applyNumberFormat="1" applyFont="1" applyFill="1" applyBorder="1" applyAlignment="1" applyProtection="1">
      <alignment horizontal="right" vertical="center"/>
      <protection/>
    </xf>
    <xf numFmtId="197" fontId="8" fillId="0" borderId="4" xfId="0" applyNumberFormat="1" applyFont="1" applyBorder="1" applyAlignment="1">
      <alignment horizontal="right" vertical="center"/>
    </xf>
    <xf numFmtId="197" fontId="14" fillId="0" borderId="9" xfId="0" applyNumberFormat="1" applyFont="1" applyFill="1" applyBorder="1" applyAlignment="1" applyProtection="1">
      <alignment horizontal="right" vertical="center"/>
      <protection/>
    </xf>
    <xf numFmtId="197" fontId="8" fillId="0" borderId="10" xfId="0" applyNumberFormat="1" applyFont="1" applyBorder="1" applyAlignment="1">
      <alignment horizontal="right" vertical="center"/>
    </xf>
    <xf numFmtId="197" fontId="11" fillId="0" borderId="2" xfId="15" applyNumberFormat="1" applyFont="1" applyBorder="1" applyAlignment="1">
      <alignment horizontal="right" vertical="center"/>
    </xf>
    <xf numFmtId="197" fontId="11" fillId="0" borderId="3" xfId="15" applyNumberFormat="1" applyFont="1" applyBorder="1" applyAlignment="1">
      <alignment horizontal="right" vertical="center"/>
    </xf>
    <xf numFmtId="197" fontId="14" fillId="0" borderId="13" xfId="0" applyNumberFormat="1" applyFont="1" applyFill="1" applyBorder="1" applyAlignment="1" applyProtection="1">
      <alignment horizontal="right" vertical="center"/>
      <protection/>
    </xf>
    <xf numFmtId="197" fontId="9" fillId="0" borderId="13" xfId="0" applyNumberFormat="1" applyFont="1" applyFill="1" applyBorder="1" applyAlignment="1" applyProtection="1">
      <alignment horizontal="right" vertical="center"/>
      <protection/>
    </xf>
    <xf numFmtId="197" fontId="8" fillId="0" borderId="14" xfId="0" applyNumberFormat="1" applyFont="1" applyBorder="1" applyAlignment="1">
      <alignment horizontal="right" vertical="center"/>
    </xf>
    <xf numFmtId="197" fontId="14" fillId="0" borderId="12" xfId="0" applyNumberFormat="1" applyFont="1" applyFill="1" applyBorder="1" applyAlignment="1" applyProtection="1">
      <alignment vertical="center"/>
      <protection/>
    </xf>
    <xf numFmtId="197" fontId="7" fillId="0" borderId="3" xfId="0" applyNumberFormat="1" applyFont="1" applyFill="1" applyBorder="1" applyAlignment="1" applyProtection="1">
      <alignment vertical="center"/>
      <protection/>
    </xf>
    <xf numFmtId="197" fontId="14" fillId="0" borderId="15" xfId="0" applyNumberFormat="1" applyFont="1" applyFill="1" applyBorder="1" applyAlignment="1" applyProtection="1">
      <alignment vertical="center"/>
      <protection/>
    </xf>
    <xf numFmtId="197" fontId="16" fillId="0" borderId="2" xfId="15" applyNumberFormat="1" applyFont="1" applyBorder="1" applyAlignment="1">
      <alignment vertical="center"/>
    </xf>
    <xf numFmtId="197" fontId="16" fillId="0" borderId="3" xfId="15" applyNumberFormat="1" applyFont="1" applyBorder="1" applyAlignment="1">
      <alignment vertical="center"/>
    </xf>
    <xf numFmtId="194" fontId="8" fillId="0" borderId="0" xfId="0" applyFont="1" applyAlignment="1">
      <alignment horizontal="left" vertical="center" indent="1"/>
    </xf>
    <xf numFmtId="19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4" fontId="8" fillId="0" borderId="0" xfId="0" applyFont="1" applyAlignment="1">
      <alignment horizontal="left" indent="1"/>
    </xf>
    <xf numFmtId="197" fontId="8" fillId="0" borderId="10" xfId="0" applyNumberFormat="1" applyFont="1" applyFill="1" applyBorder="1" applyAlignment="1" applyProtection="1">
      <alignment vertical="center"/>
      <protection locked="0"/>
    </xf>
    <xf numFmtId="194" fontId="11" fillId="0" borderId="0" xfId="0" applyFont="1" applyBorder="1" applyAlignment="1">
      <alignment vertical="center"/>
    </xf>
    <xf numFmtId="197" fontId="16" fillId="0" borderId="0" xfId="15" applyNumberFormat="1" applyFont="1" applyBorder="1" applyAlignment="1">
      <alignment vertical="center"/>
    </xf>
    <xf numFmtId="197" fontId="7" fillId="0" borderId="0" xfId="0" applyNumberFormat="1" applyFont="1" applyFill="1" applyBorder="1" applyAlignment="1" applyProtection="1">
      <alignment vertical="center"/>
      <protection/>
    </xf>
    <xf numFmtId="194" fontId="8" fillId="0" borderId="0" xfId="0" applyFont="1" applyAlignment="1" applyProtection="1">
      <alignment horizontal="left"/>
      <protection locked="0"/>
    </xf>
    <xf numFmtId="37" fontId="9" fillId="2" borderId="16" xfId="0" applyNumberFormat="1" applyFont="1" applyFill="1" applyBorder="1" applyAlignment="1" applyProtection="1">
      <alignment vertical="center"/>
      <protection/>
    </xf>
    <xf numFmtId="197" fontId="14" fillId="2" borderId="2" xfId="0" applyNumberFormat="1" applyFont="1" applyFill="1" applyBorder="1" applyAlignment="1" applyProtection="1">
      <alignment vertical="center"/>
      <protection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37" fontId="15" fillId="0" borderId="0" xfId="0" applyNumberFormat="1" applyFont="1" applyBorder="1" applyAlignment="1" applyProtection="1">
      <alignment horizontal="centerContinuous" vertical="top"/>
      <protection/>
    </xf>
    <xf numFmtId="197" fontId="8" fillId="0" borderId="4" xfId="0" applyNumberFormat="1" applyFont="1" applyFill="1" applyBorder="1" applyAlignment="1" applyProtection="1">
      <alignment vertical="center"/>
      <protection locked="0"/>
    </xf>
    <xf numFmtId="197" fontId="8" fillId="0" borderId="11" xfId="0" applyNumberFormat="1" applyFont="1" applyFill="1" applyBorder="1" applyAlignment="1" applyProtection="1">
      <alignment vertical="center"/>
      <protection locked="0"/>
    </xf>
    <xf numFmtId="197" fontId="11" fillId="0" borderId="2" xfId="15" applyNumberFormat="1" applyFont="1" applyFill="1" applyBorder="1" applyAlignment="1">
      <alignment vertical="center"/>
    </xf>
    <xf numFmtId="197" fontId="14" fillId="0" borderId="17" xfId="0" applyNumberFormat="1" applyFont="1" applyFill="1" applyBorder="1" applyAlignment="1" applyProtection="1">
      <alignment vertical="center"/>
      <protection/>
    </xf>
    <xf numFmtId="37" fontId="9" fillId="0" borderId="18" xfId="0" applyNumberFormat="1" applyFont="1" applyFill="1" applyBorder="1" applyAlignment="1" applyProtection="1">
      <alignment horizontal="left" vertical="center" indent="1"/>
      <protection/>
    </xf>
    <xf numFmtId="197" fontId="18" fillId="0" borderId="10" xfId="0" applyNumberFormat="1" applyFont="1" applyFill="1" applyBorder="1" applyAlignment="1" applyProtection="1">
      <alignment vertical="center"/>
      <protection/>
    </xf>
    <xf numFmtId="197" fontId="18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horizontal="left" vertical="center" indent="1"/>
      <protection/>
    </xf>
    <xf numFmtId="37" fontId="9" fillId="0" borderId="19" xfId="0" applyNumberFormat="1" applyFont="1" applyFill="1" applyBorder="1" applyAlignment="1" applyProtection="1" quotePrefix="1">
      <alignment horizontal="left" vertical="center" indent="1"/>
      <protection/>
    </xf>
    <xf numFmtId="37" fontId="9" fillId="0" borderId="20" xfId="0" applyNumberFormat="1" applyFont="1" applyFill="1" applyBorder="1" applyAlignment="1" applyProtection="1">
      <alignment horizontal="left" vertical="center" indent="1"/>
      <protection/>
    </xf>
    <xf numFmtId="37" fontId="9" fillId="0" borderId="21" xfId="0" applyNumberFormat="1" applyFont="1" applyFill="1" applyBorder="1" applyAlignment="1" applyProtection="1">
      <alignment horizontal="left" vertical="center" indent="1"/>
      <protection/>
    </xf>
    <xf numFmtId="37" fontId="10" fillId="0" borderId="16" xfId="0" applyNumberFormat="1" applyFont="1" applyFill="1" applyBorder="1" applyAlignment="1" applyProtection="1">
      <alignment horizontal="left" vertical="center" indent="1"/>
      <protection/>
    </xf>
    <xf numFmtId="194" fontId="8" fillId="0" borderId="22" xfId="0" applyFont="1" applyBorder="1" applyAlignment="1">
      <alignment horizontal="left" vertical="center" indent="1"/>
    </xf>
    <xf numFmtId="194" fontId="11" fillId="0" borderId="16" xfId="0" applyFont="1" applyBorder="1" applyAlignment="1">
      <alignment horizontal="left" vertical="center" indent="1"/>
    </xf>
    <xf numFmtId="37" fontId="10" fillId="0" borderId="16" xfId="0" applyNumberFormat="1" applyFont="1" applyFill="1" applyBorder="1" applyAlignment="1" applyProtection="1">
      <alignment horizontal="left" vertical="top" indent="1"/>
      <protection/>
    </xf>
    <xf numFmtId="37" fontId="9" fillId="0" borderId="22" xfId="0" applyNumberFormat="1" applyFont="1" applyFill="1" applyBorder="1" applyAlignment="1" applyProtection="1">
      <alignment horizontal="left" vertical="center" indent="1"/>
      <protection/>
    </xf>
    <xf numFmtId="194" fontId="11" fillId="0" borderId="0" xfId="0" applyFont="1" applyBorder="1" applyAlignment="1">
      <alignment horizontal="left" vertical="center" indent="1"/>
    </xf>
    <xf numFmtId="37" fontId="9" fillId="0" borderId="0" xfId="0" applyNumberFormat="1" applyFont="1" applyFill="1" applyBorder="1" applyAlignment="1" applyProtection="1">
      <alignment horizontal="left" vertical="center" indent="1"/>
      <protection locked="0"/>
    </xf>
    <xf numFmtId="37" fontId="9" fillId="2" borderId="16" xfId="0" applyNumberFormat="1" applyFont="1" applyFill="1" applyBorder="1" applyAlignment="1" applyProtection="1">
      <alignment horizontal="left" vertical="center" indent="1"/>
      <protection/>
    </xf>
    <xf numFmtId="197" fontId="18" fillId="0" borderId="8" xfId="0" applyNumberFormat="1" applyFont="1" applyFill="1" applyBorder="1" applyAlignment="1" applyProtection="1">
      <alignment vertical="center"/>
      <protection/>
    </xf>
    <xf numFmtId="197" fontId="18" fillId="0" borderId="5" xfId="0" applyNumberFormat="1" applyFont="1" applyFill="1" applyBorder="1" applyAlignment="1" applyProtection="1">
      <alignment vertical="center"/>
      <protection/>
    </xf>
    <xf numFmtId="37" fontId="10" fillId="0" borderId="16" xfId="0" applyNumberFormat="1" applyFont="1" applyFill="1" applyBorder="1" applyAlignment="1" applyProtection="1">
      <alignment horizontal="left" vertical="top"/>
      <protection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197" fontId="14" fillId="0" borderId="23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 quotePrefix="1">
      <alignment horizontal="left" vertical="center"/>
      <protection/>
    </xf>
    <xf numFmtId="197" fontId="8" fillId="0" borderId="9" xfId="15" applyNumberFormat="1" applyFont="1" applyBorder="1" applyAlignment="1" applyProtection="1">
      <alignment/>
      <protection locked="0"/>
    </xf>
    <xf numFmtId="197" fontId="8" fillId="0" borderId="9" xfId="0" applyNumberFormat="1" applyFont="1" applyBorder="1" applyAlignment="1" applyProtection="1">
      <alignment/>
      <protection locked="0"/>
    </xf>
    <xf numFmtId="197" fontId="8" fillId="0" borderId="10" xfId="0" applyNumberFormat="1" applyFont="1" applyBorder="1" applyAlignment="1">
      <alignment/>
    </xf>
    <xf numFmtId="37" fontId="9" fillId="0" borderId="20" xfId="0" applyNumberFormat="1" applyFont="1" applyFill="1" applyBorder="1" applyAlignment="1" applyProtection="1">
      <alignment vertical="center"/>
      <protection/>
    </xf>
    <xf numFmtId="37" fontId="9" fillId="0" borderId="21" xfId="0" applyNumberFormat="1" applyFont="1" applyFill="1" applyBorder="1" applyAlignment="1" applyProtection="1">
      <alignment vertical="center"/>
      <protection/>
    </xf>
    <xf numFmtId="194" fontId="11" fillId="0" borderId="16" xfId="0" applyFont="1" applyBorder="1" applyAlignment="1">
      <alignment vertic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/>
      <protection locked="0"/>
    </xf>
    <xf numFmtId="194" fontId="11" fillId="0" borderId="0" xfId="0" applyFont="1" applyAlignment="1">
      <alignment horizontal="centerContinuous" vertical="top"/>
    </xf>
    <xf numFmtId="194" fontId="11" fillId="0" borderId="0" xfId="0" applyFont="1" applyBorder="1" applyAlignment="1">
      <alignment horizontal="centerContinuous" vertical="top"/>
    </xf>
    <xf numFmtId="197" fontId="8" fillId="0" borderId="12" xfId="15" applyNumberFormat="1" applyFont="1" applyBorder="1" applyAlignment="1">
      <alignment/>
    </xf>
    <xf numFmtId="197" fontId="8" fillId="0" borderId="12" xfId="15" applyNumberFormat="1" applyFont="1" applyBorder="1" applyAlignment="1" applyProtection="1">
      <alignment/>
      <protection locked="0"/>
    </xf>
    <xf numFmtId="197" fontId="8" fillId="0" borderId="12" xfId="0" applyNumberFormat="1" applyFont="1" applyBorder="1" applyAlignment="1" applyProtection="1">
      <alignment/>
      <protection locked="0"/>
    </xf>
    <xf numFmtId="197" fontId="8" fillId="0" borderId="4" xfId="0" applyNumberFormat="1" applyFont="1" applyBorder="1" applyAlignment="1">
      <alignment/>
    </xf>
    <xf numFmtId="197" fontId="8" fillId="0" borderId="9" xfId="15" applyNumberFormat="1" applyFont="1" applyBorder="1" applyAlignment="1">
      <alignment/>
    </xf>
    <xf numFmtId="197" fontId="8" fillId="0" borderId="9" xfId="15" applyNumberFormat="1" applyFont="1" applyFill="1" applyBorder="1" applyAlignment="1" applyProtection="1">
      <alignment/>
      <protection locked="0"/>
    </xf>
    <xf numFmtId="197" fontId="8" fillId="0" borderId="9" xfId="0" applyNumberFormat="1" applyFont="1" applyFill="1" applyBorder="1" applyAlignment="1" applyProtection="1">
      <alignment/>
      <protection locked="0"/>
    </xf>
    <xf numFmtId="197" fontId="0" fillId="0" borderId="0" xfId="0" applyNumberFormat="1" applyFont="1" applyBorder="1" applyAlignment="1">
      <alignment/>
    </xf>
    <xf numFmtId="197" fontId="8" fillId="0" borderId="24" xfId="15" applyNumberFormat="1" applyFont="1" applyBorder="1" applyAlignment="1">
      <alignment/>
    </xf>
    <xf numFmtId="197" fontId="8" fillId="0" borderId="24" xfId="15" applyNumberFormat="1" applyFont="1" applyFill="1" applyBorder="1" applyAlignment="1" applyProtection="1">
      <alignment/>
      <protection locked="0"/>
    </xf>
    <xf numFmtId="197" fontId="8" fillId="0" borderId="24" xfId="0" applyNumberFormat="1" applyFont="1" applyBorder="1" applyAlignment="1" applyProtection="1">
      <alignment/>
      <protection locked="0"/>
    </xf>
    <xf numFmtId="197" fontId="11" fillId="0" borderId="2" xfId="15" applyNumberFormat="1" applyFont="1" applyBorder="1" applyAlignment="1">
      <alignment/>
    </xf>
    <xf numFmtId="197" fontId="11" fillId="0" borderId="0" xfId="15" applyNumberFormat="1" applyFont="1" applyBorder="1" applyAlignment="1">
      <alignment/>
    </xf>
    <xf numFmtId="197" fontId="9" fillId="0" borderId="25" xfId="0" applyNumberFormat="1" applyFont="1" applyFill="1" applyBorder="1" applyAlignment="1" applyProtection="1">
      <alignment/>
      <protection/>
    </xf>
    <xf numFmtId="197" fontId="9" fillId="0" borderId="5" xfId="0" applyNumberFormat="1" applyFont="1" applyFill="1" applyBorder="1" applyAlignment="1" applyProtection="1">
      <alignment/>
      <protection/>
    </xf>
    <xf numFmtId="197" fontId="8" fillId="0" borderId="10" xfId="0" applyNumberFormat="1" applyFont="1" applyBorder="1" applyAlignment="1" applyProtection="1">
      <alignment/>
      <protection locked="0"/>
    </xf>
    <xf numFmtId="3" fontId="9" fillId="0" borderId="5" xfId="0" applyNumberFormat="1" applyFont="1" applyFill="1" applyBorder="1" applyAlignment="1" applyProtection="1">
      <alignment/>
      <protection/>
    </xf>
    <xf numFmtId="197" fontId="11" fillId="0" borderId="2" xfId="15" applyNumberFormat="1" applyFont="1" applyBorder="1" applyAlignment="1">
      <alignment/>
    </xf>
    <xf numFmtId="197" fontId="7" fillId="0" borderId="3" xfId="0" applyNumberFormat="1" applyFont="1" applyFill="1" applyBorder="1" applyAlignment="1" applyProtection="1">
      <alignment/>
      <protection/>
    </xf>
    <xf numFmtId="0" fontId="21" fillId="0" borderId="0" xfId="25" applyFont="1">
      <alignment/>
      <protection/>
    </xf>
    <xf numFmtId="197" fontId="9" fillId="0" borderId="8" xfId="0" applyNumberFormat="1" applyFont="1" applyFill="1" applyBorder="1" applyAlignment="1" applyProtection="1">
      <alignment/>
      <protection/>
    </xf>
    <xf numFmtId="197" fontId="9" fillId="0" borderId="5" xfId="0" applyNumberFormat="1" applyFont="1" applyFill="1" applyBorder="1" applyAlignment="1" applyProtection="1">
      <alignment/>
      <protection/>
    </xf>
    <xf numFmtId="194" fontId="9" fillId="0" borderId="0" xfId="0" applyFont="1" applyFill="1" applyAlignment="1" quotePrefix="1">
      <alignment horizontal="left"/>
    </xf>
    <xf numFmtId="194" fontId="8" fillId="0" borderId="0" xfId="0" applyFont="1" applyAlignment="1">
      <alignment horizont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 indent="1"/>
      <protection/>
    </xf>
    <xf numFmtId="37" fontId="9" fillId="0" borderId="20" xfId="0" applyNumberFormat="1" applyFont="1" applyFill="1" applyBorder="1" applyAlignment="1" applyProtection="1">
      <alignment horizontal="left" indent="1"/>
      <protection/>
    </xf>
    <xf numFmtId="37" fontId="9" fillId="0" borderId="19" xfId="0" applyNumberFormat="1" applyFont="1" applyFill="1" applyBorder="1" applyAlignment="1" applyProtection="1">
      <alignment horizontal="left" indent="1"/>
      <protection/>
    </xf>
    <xf numFmtId="37" fontId="9" fillId="0" borderId="19" xfId="0" applyNumberFormat="1" applyFont="1" applyFill="1" applyBorder="1" applyAlignment="1" applyProtection="1" quotePrefix="1">
      <alignment horizontal="left" indent="1"/>
      <protection/>
    </xf>
    <xf numFmtId="37" fontId="9" fillId="0" borderId="21" xfId="0" applyNumberFormat="1" applyFont="1" applyFill="1" applyBorder="1" applyAlignment="1" applyProtection="1">
      <alignment horizontal="left" indent="1"/>
      <protection/>
    </xf>
    <xf numFmtId="194" fontId="11" fillId="0" borderId="16" xfId="0" applyFont="1" applyBorder="1" applyAlignment="1">
      <alignment horizontal="left" indent="1"/>
    </xf>
    <xf numFmtId="37" fontId="11" fillId="0" borderId="0" xfId="0" applyNumberFormat="1" applyFont="1" applyAlignment="1" applyProtection="1">
      <alignment horizontal="centerContinuous" vertical="top"/>
      <protection/>
    </xf>
    <xf numFmtId="37" fontId="9" fillId="0" borderId="18" xfId="0" applyNumberFormat="1" applyFont="1" applyFill="1" applyBorder="1" applyAlignment="1" applyProtection="1">
      <alignment horizontal="left" indent="1"/>
      <protection/>
    </xf>
    <xf numFmtId="37" fontId="10" fillId="0" borderId="16" xfId="0" applyNumberFormat="1" applyFont="1" applyFill="1" applyBorder="1" applyAlignment="1" applyProtection="1">
      <alignment horizontal="left" indent="1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194" fontId="17" fillId="0" borderId="0" xfId="0" applyFont="1" applyAlignment="1">
      <alignment horizontal="left" indent="1"/>
    </xf>
    <xf numFmtId="194" fontId="23" fillId="0" borderId="0" xfId="0" applyFont="1" applyAlignment="1">
      <alignment vertical="center"/>
    </xf>
    <xf numFmtId="196" fontId="23" fillId="0" borderId="0" xfId="15" applyNumberFormat="1" applyFont="1" applyAlignment="1">
      <alignment vertical="center"/>
    </xf>
    <xf numFmtId="37" fontId="22" fillId="0" borderId="0" xfId="0" applyNumberFormat="1" applyFont="1" applyFill="1" applyBorder="1" applyAlignment="1" applyProtection="1">
      <alignment horizontal="left" vertical="center" indent="1"/>
      <protection locked="0"/>
    </xf>
    <xf numFmtId="37" fontId="10" fillId="0" borderId="2" xfId="0" applyNumberFormat="1" applyFont="1" applyFill="1" applyBorder="1" applyAlignment="1" applyProtection="1">
      <alignment horizontal="center" vertical="top" wrapText="1"/>
      <protection/>
    </xf>
    <xf numFmtId="197" fontId="14" fillId="0" borderId="17" xfId="0" applyNumberFormat="1" applyFont="1" applyFill="1" applyBorder="1" applyAlignment="1" applyProtection="1">
      <alignment horizontal="right" vertical="center"/>
      <protection/>
    </xf>
    <xf numFmtId="197" fontId="8" fillId="0" borderId="26" xfId="0" applyNumberFormat="1" applyFont="1" applyBorder="1" applyAlignment="1">
      <alignment horizontal="right" vertical="center"/>
    </xf>
    <xf numFmtId="197" fontId="11" fillId="0" borderId="0" xfId="15" applyNumberFormat="1" applyFont="1" applyBorder="1" applyAlignment="1">
      <alignment horizontal="right" vertical="center"/>
    </xf>
    <xf numFmtId="197" fontId="14" fillId="0" borderId="26" xfId="0" applyNumberFormat="1" applyFont="1" applyFill="1" applyBorder="1" applyAlignment="1" applyProtection="1">
      <alignment vertical="center"/>
      <protection/>
    </xf>
    <xf numFmtId="197" fontId="8" fillId="0" borderId="26" xfId="0" applyNumberFormat="1" applyFont="1" applyBorder="1" applyAlignment="1">
      <alignment/>
    </xf>
    <xf numFmtId="197" fontId="8" fillId="0" borderId="4" xfId="0" applyNumberFormat="1" applyFont="1" applyBorder="1" applyAlignment="1" applyProtection="1">
      <alignment/>
      <protection locked="0"/>
    </xf>
    <xf numFmtId="197" fontId="8" fillId="0" borderId="26" xfId="0" applyNumberFormat="1" applyFont="1" applyBorder="1" applyAlignment="1" applyProtection="1">
      <alignment/>
      <protection locked="0"/>
    </xf>
    <xf numFmtId="37" fontId="10" fillId="0" borderId="3" xfId="0" applyNumberFormat="1" applyFont="1" applyFill="1" applyBorder="1" applyAlignment="1" applyProtection="1">
      <alignment horizontal="center" vertical="top" wrapText="1"/>
      <protection/>
    </xf>
    <xf numFmtId="197" fontId="9" fillId="0" borderId="27" xfId="0" applyNumberFormat="1" applyFont="1" applyFill="1" applyBorder="1" applyAlignment="1" applyProtection="1">
      <alignment/>
      <protection/>
    </xf>
    <xf numFmtId="197" fontId="9" fillId="0" borderId="11" xfId="0" applyNumberFormat="1" applyFont="1" applyFill="1" applyBorder="1" applyAlignment="1" applyProtection="1">
      <alignment/>
      <protection/>
    </xf>
    <xf numFmtId="37" fontId="10" fillId="0" borderId="28" xfId="0" applyNumberFormat="1" applyFont="1" applyFill="1" applyBorder="1" applyAlignment="1" applyProtection="1">
      <alignment horizontal="left" indent="1"/>
      <protection/>
    </xf>
    <xf numFmtId="197" fontId="10" fillId="0" borderId="7" xfId="0" applyNumberFormat="1" applyFont="1" applyFill="1" applyBorder="1" applyAlignment="1" applyProtection="1">
      <alignment/>
      <protection/>
    </xf>
    <xf numFmtId="197" fontId="10" fillId="0" borderId="3" xfId="0" applyNumberFormat="1" applyFont="1" applyFill="1" applyBorder="1" applyAlignment="1" applyProtection="1">
      <alignment/>
      <protection/>
    </xf>
    <xf numFmtId="194" fontId="9" fillId="0" borderId="0" xfId="0" applyFont="1" applyFill="1" applyBorder="1" applyAlignment="1">
      <alignment/>
    </xf>
    <xf numFmtId="38" fontId="14" fillId="2" borderId="8" xfId="0" applyNumberFormat="1" applyFont="1" applyFill="1" applyBorder="1" applyAlignment="1" applyProtection="1">
      <alignment vertical="center"/>
      <protection/>
    </xf>
    <xf numFmtId="38" fontId="14" fillId="2" borderId="5" xfId="0" applyNumberFormat="1" applyFont="1" applyFill="1" applyBorder="1" applyAlignment="1" applyProtection="1">
      <alignment vertical="center"/>
      <protection/>
    </xf>
    <xf numFmtId="38" fontId="11" fillId="0" borderId="2" xfId="15" applyNumberFormat="1" applyFont="1" applyFill="1" applyBorder="1" applyAlignment="1">
      <alignment vertical="center"/>
    </xf>
    <xf numFmtId="194" fontId="24" fillId="0" borderId="0" xfId="0" applyFont="1" applyAlignment="1">
      <alignment wrapText="1"/>
    </xf>
    <xf numFmtId="39" fontId="8" fillId="0" borderId="0" xfId="0" applyNumberFormat="1" applyFont="1" applyAlignment="1">
      <alignment horizontal="right"/>
    </xf>
    <xf numFmtId="39" fontId="16" fillId="0" borderId="0" xfId="15" applyNumberFormat="1" applyFont="1" applyBorder="1" applyAlignment="1">
      <alignment vertical="center"/>
    </xf>
    <xf numFmtId="39" fontId="8" fillId="0" borderId="0" xfId="0" applyNumberFormat="1" applyFont="1" applyAlignment="1">
      <alignment/>
    </xf>
    <xf numFmtId="37" fontId="26" fillId="0" borderId="18" xfId="0" applyNumberFormat="1" applyFont="1" applyFill="1" applyBorder="1" applyAlignment="1" applyProtection="1">
      <alignment horizontal="left" vertical="center" indent="1"/>
      <protection/>
    </xf>
    <xf numFmtId="38" fontId="26" fillId="2" borderId="8" xfId="0" applyNumberFormat="1" applyFont="1" applyFill="1" applyBorder="1" applyAlignment="1" applyProtection="1">
      <alignment vertical="center"/>
      <protection/>
    </xf>
    <xf numFmtId="197" fontId="26" fillId="0" borderId="12" xfId="0" applyNumberFormat="1" applyFont="1" applyFill="1" applyBorder="1" applyAlignment="1" applyProtection="1">
      <alignment vertical="center"/>
      <protection/>
    </xf>
    <xf numFmtId="197" fontId="27" fillId="0" borderId="0" xfId="0" applyNumberFormat="1" applyFont="1" applyBorder="1" applyAlignment="1">
      <alignment horizontal="right"/>
    </xf>
    <xf numFmtId="194" fontId="27" fillId="0" borderId="0" xfId="0" applyFont="1" applyAlignment="1">
      <alignment/>
    </xf>
    <xf numFmtId="37" fontId="26" fillId="0" borderId="19" xfId="0" applyNumberFormat="1" applyFont="1" applyFill="1" applyBorder="1" applyAlignment="1" applyProtection="1">
      <alignment horizontal="left" vertical="center" indent="1"/>
      <protection/>
    </xf>
    <xf numFmtId="38" fontId="26" fillId="2" borderId="5" xfId="0" applyNumberFormat="1" applyFont="1" applyFill="1" applyBorder="1" applyAlignment="1" applyProtection="1">
      <alignment vertical="center"/>
      <protection/>
    </xf>
    <xf numFmtId="197" fontId="26" fillId="0" borderId="9" xfId="0" applyNumberFormat="1" applyFont="1" applyFill="1" applyBorder="1" applyAlignment="1" applyProtection="1">
      <alignment vertical="center"/>
      <protection/>
    </xf>
    <xf numFmtId="37" fontId="26" fillId="0" borderId="19" xfId="0" applyNumberFormat="1" applyFont="1" applyFill="1" applyBorder="1" applyAlignment="1" applyProtection="1" quotePrefix="1">
      <alignment horizontal="left" vertical="center" indent="1"/>
      <protection/>
    </xf>
    <xf numFmtId="37" fontId="26" fillId="0" borderId="20" xfId="0" applyNumberFormat="1" applyFont="1" applyFill="1" applyBorder="1" applyAlignment="1" applyProtection="1">
      <alignment horizontal="left" vertical="center" indent="1"/>
      <protection/>
    </xf>
    <xf numFmtId="37" fontId="26" fillId="0" borderId="21" xfId="0" applyNumberFormat="1" applyFont="1" applyFill="1" applyBorder="1" applyAlignment="1" applyProtection="1">
      <alignment horizontal="left" vertical="center" indent="1"/>
      <protection/>
    </xf>
    <xf numFmtId="197" fontId="26" fillId="0" borderId="24" xfId="0" applyNumberFormat="1" applyFont="1" applyFill="1" applyBorder="1" applyAlignment="1" applyProtection="1">
      <alignment vertical="center"/>
      <protection/>
    </xf>
    <xf numFmtId="197" fontId="26" fillId="0" borderId="29" xfId="0" applyNumberFormat="1" applyFont="1" applyFill="1" applyBorder="1" applyAlignment="1" applyProtection="1">
      <alignment vertical="center"/>
      <protection/>
    </xf>
    <xf numFmtId="197" fontId="26" fillId="0" borderId="17" xfId="0" applyNumberFormat="1" applyFont="1" applyFill="1" applyBorder="1" applyAlignment="1" applyProtection="1">
      <alignment vertical="center"/>
      <protection/>
    </xf>
    <xf numFmtId="194" fontId="28" fillId="0" borderId="16" xfId="0" applyFont="1" applyBorder="1" applyAlignment="1">
      <alignment horizontal="left" vertical="center" indent="1"/>
    </xf>
    <xf numFmtId="38" fontId="28" fillId="0" borderId="7" xfId="15" applyNumberFormat="1" applyFont="1" applyFill="1" applyBorder="1" applyAlignment="1">
      <alignment vertical="center"/>
    </xf>
    <xf numFmtId="197" fontId="28" fillId="0" borderId="30" xfId="15" applyNumberFormat="1" applyFont="1" applyFill="1" applyBorder="1" applyAlignment="1">
      <alignment vertical="center"/>
    </xf>
    <xf numFmtId="197" fontId="28" fillId="0" borderId="31" xfId="15" applyNumberFormat="1" applyFont="1" applyFill="1" applyBorder="1" applyAlignment="1">
      <alignment vertical="center"/>
    </xf>
    <xf numFmtId="197" fontId="28" fillId="0" borderId="2" xfId="15" applyNumberFormat="1" applyFont="1" applyFill="1" applyBorder="1" applyAlignment="1">
      <alignment vertical="center"/>
    </xf>
    <xf numFmtId="37" fontId="26" fillId="0" borderId="0" xfId="0" applyNumberFormat="1" applyFont="1" applyFill="1" applyBorder="1" applyAlignment="1" applyProtection="1">
      <alignment horizontal="left" vertical="center"/>
      <protection locked="0"/>
    </xf>
    <xf numFmtId="194" fontId="27" fillId="0" borderId="0" xfId="0" applyFont="1" applyAlignment="1">
      <alignment vertical="center"/>
    </xf>
    <xf numFmtId="37" fontId="26" fillId="2" borderId="16" xfId="0" applyNumberFormat="1" applyFont="1" applyFill="1" applyBorder="1" applyAlignment="1" applyProtection="1">
      <alignment vertical="center"/>
      <protection/>
    </xf>
    <xf numFmtId="197" fontId="26" fillId="2" borderId="2" xfId="0" applyNumberFormat="1" applyFont="1" applyFill="1" applyBorder="1" applyAlignment="1" applyProtection="1">
      <alignment vertical="center"/>
      <protection/>
    </xf>
    <xf numFmtId="197" fontId="27" fillId="2" borderId="3" xfId="0" applyNumberFormat="1" applyFont="1" applyFill="1" applyBorder="1" applyAlignment="1" applyProtection="1">
      <alignment vertical="center"/>
      <protection locked="0"/>
    </xf>
    <xf numFmtId="194" fontId="27" fillId="0" borderId="0" xfId="0" applyFont="1" applyAlignment="1">
      <alignment wrapText="1"/>
    </xf>
    <xf numFmtId="194" fontId="27" fillId="0" borderId="0" xfId="0" applyFont="1" applyAlignment="1" applyProtection="1">
      <alignment horizontal="left"/>
      <protection locked="0"/>
    </xf>
    <xf numFmtId="194" fontId="27" fillId="0" borderId="0" xfId="0" applyFont="1" applyAlignment="1">
      <alignment horizontal="right"/>
    </xf>
    <xf numFmtId="194" fontId="27" fillId="0" borderId="0" xfId="0" applyFont="1" applyAlignment="1">
      <alignment horizontal="left"/>
    </xf>
    <xf numFmtId="194" fontId="27" fillId="0" borderId="0" xfId="0" applyFont="1" applyAlignment="1">
      <alignment horizontal="centerContinuous" vertical="top"/>
    </xf>
    <xf numFmtId="37" fontId="28" fillId="0" borderId="0" xfId="0" applyNumberFormat="1" applyFont="1" applyAlignment="1" applyProtection="1">
      <alignment horizontal="centerContinuous" vertical="top"/>
      <protection/>
    </xf>
    <xf numFmtId="194" fontId="27" fillId="0" borderId="0" xfId="0" applyFont="1" applyBorder="1" applyAlignment="1">
      <alignment horizontal="centerContinuous" vertical="top"/>
    </xf>
    <xf numFmtId="37" fontId="27" fillId="0" borderId="0" xfId="0" applyNumberFormat="1" applyFont="1" applyBorder="1" applyAlignment="1" applyProtection="1">
      <alignment horizontal="centerContinuous" vertical="top"/>
      <protection/>
    </xf>
    <xf numFmtId="194" fontId="27" fillId="0" borderId="0" xfId="0" applyFont="1" applyBorder="1" applyAlignment="1">
      <alignment/>
    </xf>
    <xf numFmtId="37" fontId="30" fillId="0" borderId="16" xfId="0" applyNumberFormat="1" applyFont="1" applyFill="1" applyBorder="1" applyAlignment="1" applyProtection="1">
      <alignment horizontal="left" vertical="top" indent="1"/>
      <protection/>
    </xf>
    <xf numFmtId="37" fontId="30" fillId="0" borderId="2" xfId="0" applyNumberFormat="1" applyFont="1" applyFill="1" applyBorder="1" applyAlignment="1" applyProtection="1">
      <alignment horizontal="centerContinuous" vertical="top" wrapText="1"/>
      <protection/>
    </xf>
    <xf numFmtId="37" fontId="30" fillId="0" borderId="3" xfId="0" applyNumberFormat="1" applyFont="1" applyFill="1" applyBorder="1" applyAlignment="1" applyProtection="1">
      <alignment horizontal="centerContinuous" vertical="top" wrapText="1"/>
      <protection/>
    </xf>
    <xf numFmtId="197" fontId="28" fillId="0" borderId="0" xfId="0" applyNumberFormat="1" applyFont="1" applyBorder="1" applyAlignment="1">
      <alignment horizontal="right"/>
    </xf>
    <xf numFmtId="197" fontId="27" fillId="0" borderId="10" xfId="0" applyNumberFormat="1" applyFont="1" applyFill="1" applyBorder="1" applyAlignment="1" applyProtection="1">
      <alignment vertical="center"/>
      <protection locked="0"/>
    </xf>
    <xf numFmtId="197" fontId="31" fillId="0" borderId="9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centerContinuous" vertical="top"/>
    </xf>
    <xf numFmtId="38" fontId="8" fillId="0" borderId="0" xfId="0" applyNumberFormat="1" applyFont="1" applyBorder="1" applyAlignment="1">
      <alignment horizontal="centerContinuous" vertical="top"/>
    </xf>
    <xf numFmtId="38" fontId="10" fillId="0" borderId="3" xfId="0" applyNumberFormat="1" applyFont="1" applyFill="1" applyBorder="1" applyAlignment="1" applyProtection="1">
      <alignment horizontal="centerContinuous" vertical="top" wrapText="1"/>
      <protection/>
    </xf>
    <xf numFmtId="38" fontId="8" fillId="0" borderId="4" xfId="0" applyNumberFormat="1" applyFont="1" applyFill="1" applyBorder="1" applyAlignment="1" applyProtection="1">
      <alignment vertical="center"/>
      <protection locked="0"/>
    </xf>
    <xf numFmtId="38" fontId="8" fillId="0" borderId="10" xfId="0" applyNumberFormat="1" applyFont="1" applyFill="1" applyBorder="1" applyAlignment="1" applyProtection="1">
      <alignment vertical="center"/>
      <protection locked="0"/>
    </xf>
    <xf numFmtId="38" fontId="8" fillId="0" borderId="11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Alignment="1">
      <alignment vertical="center"/>
    </xf>
    <xf numFmtId="38" fontId="8" fillId="2" borderId="3" xfId="0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Alignment="1">
      <alignment/>
    </xf>
    <xf numFmtId="194" fontId="34" fillId="0" borderId="0" xfId="0" applyFont="1" applyAlignment="1">
      <alignment/>
    </xf>
    <xf numFmtId="197" fontId="34" fillId="0" borderId="0" xfId="0" applyNumberFormat="1" applyFont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9" fontId="13" fillId="0" borderId="0" xfId="0" applyNumberFormat="1" applyFont="1" applyAlignment="1">
      <alignment horizontal="left"/>
    </xf>
    <xf numFmtId="194" fontId="13" fillId="0" borderId="0" xfId="0" applyFont="1" applyAlignment="1">
      <alignment/>
    </xf>
    <xf numFmtId="194" fontId="8" fillId="0" borderId="0" xfId="0" applyFont="1" applyAlignment="1">
      <alignment/>
    </xf>
    <xf numFmtId="39" fontId="13" fillId="0" borderId="0" xfId="0" applyNumberFormat="1" applyFont="1" applyAlignment="1">
      <alignment horizontal="right"/>
    </xf>
    <xf numFmtId="194" fontId="37" fillId="0" borderId="0" xfId="0" applyFont="1" applyAlignment="1">
      <alignment/>
    </xf>
    <xf numFmtId="37" fontId="30" fillId="0" borderId="16" xfId="0" applyNumberFormat="1" applyFont="1" applyFill="1" applyBorder="1" applyAlignment="1" applyProtection="1">
      <alignment horizontal="left" indent="1"/>
      <protection/>
    </xf>
    <xf numFmtId="37" fontId="30" fillId="0" borderId="2" xfId="0" applyNumberFormat="1" applyFont="1" applyFill="1" applyBorder="1" applyAlignment="1" applyProtection="1">
      <alignment horizontal="centerContinuous" wrapText="1"/>
      <protection/>
    </xf>
    <xf numFmtId="194" fontId="39" fillId="0" borderId="0" xfId="0" applyFont="1" applyAlignment="1" applyProtection="1">
      <alignment horizontal="left"/>
      <protection locked="0"/>
    </xf>
    <xf numFmtId="194" fontId="39" fillId="0" borderId="0" xfId="0" applyFont="1" applyAlignment="1">
      <alignment/>
    </xf>
    <xf numFmtId="194" fontId="39" fillId="0" borderId="0" xfId="0" applyFont="1" applyAlignment="1">
      <alignment horizontal="left"/>
    </xf>
    <xf numFmtId="194" fontId="40" fillId="0" borderId="0" xfId="0" applyFont="1" applyAlignment="1">
      <alignment horizontal="center"/>
    </xf>
    <xf numFmtId="194" fontId="39" fillId="0" borderId="0" xfId="0" applyFont="1" applyAlignment="1">
      <alignment horizontal="center"/>
    </xf>
    <xf numFmtId="194" fontId="41" fillId="0" borderId="0" xfId="0" applyFont="1" applyAlignment="1">
      <alignment/>
    </xf>
    <xf numFmtId="194" fontId="40" fillId="0" borderId="0" xfId="0" applyFont="1" applyBorder="1" applyAlignment="1">
      <alignment/>
    </xf>
    <xf numFmtId="37" fontId="39" fillId="0" borderId="0" xfId="0" applyNumberFormat="1" applyFont="1" applyAlignment="1" applyProtection="1">
      <alignment horizontal="centerContinuous"/>
      <protection/>
    </xf>
    <xf numFmtId="194" fontId="40" fillId="0" borderId="0" xfId="0" applyFont="1" applyBorder="1" applyAlignment="1">
      <alignment horizontal="centerContinuous"/>
    </xf>
    <xf numFmtId="41" fontId="40" fillId="0" borderId="0" xfId="0" applyNumberFormat="1" applyFont="1" applyBorder="1" applyAlignment="1">
      <alignment horizontal="centerContinuous"/>
    </xf>
    <xf numFmtId="194" fontId="45" fillId="0" borderId="5" xfId="0" applyNumberFormat="1" applyFont="1" applyBorder="1" applyAlignment="1" applyProtection="1">
      <alignment horizontal="left" indent="1"/>
      <protection/>
    </xf>
    <xf numFmtId="194" fontId="40" fillId="0" borderId="32" xfId="0" applyFont="1" applyBorder="1" applyAlignment="1">
      <alignment/>
    </xf>
    <xf numFmtId="41" fontId="43" fillId="0" borderId="33" xfId="0" applyNumberFormat="1" applyFont="1" applyFill="1" applyBorder="1" applyAlignment="1">
      <alignment/>
    </xf>
    <xf numFmtId="194" fontId="39" fillId="0" borderId="25" xfId="0" applyNumberFormat="1" applyFont="1" applyBorder="1" applyAlignment="1" applyProtection="1">
      <alignment horizontal="left" indent="1"/>
      <protection/>
    </xf>
    <xf numFmtId="41" fontId="43" fillId="0" borderId="34" xfId="0" applyNumberFormat="1" applyFont="1" applyFill="1" applyBorder="1" applyAlignment="1">
      <alignment/>
    </xf>
    <xf numFmtId="194" fontId="39" fillId="0" borderId="0" xfId="0" applyFont="1" applyBorder="1" applyAlignment="1">
      <alignment/>
    </xf>
    <xf numFmtId="41" fontId="46" fillId="0" borderId="34" xfId="0" applyNumberFormat="1" applyFont="1" applyFill="1" applyBorder="1" applyAlignment="1" applyProtection="1">
      <alignment/>
      <protection/>
    </xf>
    <xf numFmtId="194" fontId="40" fillId="0" borderId="35" xfId="0" applyFont="1" applyBorder="1" applyAlignment="1">
      <alignment horizontal="left" indent="1"/>
    </xf>
    <xf numFmtId="194" fontId="40" fillId="0" borderId="36" xfId="0" applyFont="1" applyBorder="1" applyAlignment="1">
      <alignment/>
    </xf>
    <xf numFmtId="194" fontId="40" fillId="0" borderId="23" xfId="0" applyNumberFormat="1" applyFont="1" applyBorder="1" applyAlignment="1" applyProtection="1" quotePrefix="1">
      <alignment horizontal="left" indent="1"/>
      <protection/>
    </xf>
    <xf numFmtId="194" fontId="40" fillId="0" borderId="37" xfId="0" applyFont="1" applyBorder="1" applyAlignment="1">
      <alignment/>
    </xf>
    <xf numFmtId="194" fontId="39" fillId="0" borderId="25" xfId="0" applyFont="1" applyBorder="1" applyAlignment="1">
      <alignment horizontal="left" indent="1"/>
    </xf>
    <xf numFmtId="194" fontId="40" fillId="0" borderId="0" xfId="0" applyFont="1" applyBorder="1" applyAlignment="1">
      <alignment horizontal="left"/>
    </xf>
    <xf numFmtId="41" fontId="46" fillId="0" borderId="34" xfId="0" applyNumberFormat="1" applyFont="1" applyFill="1" applyBorder="1" applyAlignment="1">
      <alignment horizontal="left"/>
    </xf>
    <xf numFmtId="194" fontId="45" fillId="0" borderId="25" xfId="0" applyNumberFormat="1" applyFont="1" applyBorder="1" applyAlignment="1" applyProtection="1">
      <alignment horizontal="left" indent="1"/>
      <protection/>
    </xf>
    <xf numFmtId="41" fontId="46" fillId="0" borderId="0" xfId="0" applyNumberFormat="1" applyFont="1" applyFill="1" applyBorder="1" applyAlignment="1">
      <alignment horizontal="right"/>
    </xf>
    <xf numFmtId="196" fontId="39" fillId="2" borderId="0" xfId="0" applyNumberFormat="1" applyFont="1" applyFill="1" applyBorder="1" applyAlignment="1" applyProtection="1">
      <alignment/>
      <protection/>
    </xf>
    <xf numFmtId="41" fontId="39" fillId="0" borderId="34" xfId="0" applyNumberFormat="1" applyFont="1" applyBorder="1" applyAlignment="1">
      <alignment/>
    </xf>
    <xf numFmtId="41" fontId="39" fillId="2" borderId="0" xfId="0" applyNumberFormat="1" applyFont="1" applyFill="1" applyBorder="1" applyAlignment="1">
      <alignment/>
    </xf>
    <xf numFmtId="196" fontId="46" fillId="0" borderId="0" xfId="0" applyNumberFormat="1" applyFont="1" applyFill="1" applyBorder="1" applyAlignment="1">
      <alignment horizontal="right"/>
    </xf>
    <xf numFmtId="197" fontId="40" fillId="0" borderId="34" xfId="0" applyNumberFormat="1" applyFont="1" applyBorder="1" applyAlignment="1">
      <alignment/>
    </xf>
    <xf numFmtId="194" fontId="39" fillId="0" borderId="35" xfId="0" applyFont="1" applyBorder="1" applyAlignment="1" quotePrefix="1">
      <alignment horizontal="left" indent="1"/>
    </xf>
    <xf numFmtId="198" fontId="40" fillId="0" borderId="36" xfId="15" applyNumberFormat="1" applyFont="1" applyBorder="1" applyAlignment="1">
      <alignment horizontal="right"/>
    </xf>
    <xf numFmtId="41" fontId="43" fillId="0" borderId="38" xfId="0" applyNumberFormat="1" applyFont="1" applyFill="1" applyBorder="1" applyAlignment="1">
      <alignment/>
    </xf>
    <xf numFmtId="194" fontId="43" fillId="0" borderId="25" xfId="0" applyFont="1" applyFill="1" applyBorder="1" applyAlignment="1">
      <alignment horizontal="left" indent="1"/>
    </xf>
    <xf numFmtId="41" fontId="46" fillId="0" borderId="34" xfId="0" applyNumberFormat="1" applyFont="1" applyFill="1" applyBorder="1" applyAlignment="1">
      <alignment/>
    </xf>
    <xf numFmtId="9" fontId="39" fillId="0" borderId="25" xfId="26" applyFont="1" applyBorder="1" applyAlignment="1" applyProtection="1" quotePrefix="1">
      <alignment horizontal="left" indent="1"/>
      <protection/>
    </xf>
    <xf numFmtId="9" fontId="39" fillId="0" borderId="0" xfId="26" applyFont="1" applyBorder="1" applyAlignment="1">
      <alignment/>
    </xf>
    <xf numFmtId="9" fontId="39" fillId="0" borderId="25" xfId="26" applyFont="1" applyBorder="1" applyAlignment="1">
      <alignment horizontal="left" indent="1"/>
    </xf>
    <xf numFmtId="41" fontId="46" fillId="0" borderId="34" xfId="0" applyNumberFormat="1" applyFont="1" applyFill="1" applyBorder="1" applyAlignment="1" applyProtection="1">
      <alignment/>
      <protection locked="0"/>
    </xf>
    <xf numFmtId="194" fontId="39" fillId="0" borderId="25" xfId="0" applyNumberFormat="1" applyFont="1" applyBorder="1" applyAlignment="1" applyProtection="1" quotePrefix="1">
      <alignment horizontal="left" indent="1"/>
      <protection/>
    </xf>
    <xf numFmtId="194" fontId="39" fillId="0" borderId="25" xfId="0" applyFont="1" applyBorder="1" applyAlignment="1" quotePrefix="1">
      <alignment horizontal="left" indent="1"/>
    </xf>
    <xf numFmtId="41" fontId="39" fillId="0" borderId="38" xfId="0" applyNumberFormat="1" applyFont="1" applyBorder="1" applyAlignment="1" applyProtection="1">
      <alignment/>
      <protection locked="0"/>
    </xf>
    <xf numFmtId="194" fontId="39" fillId="0" borderId="37" xfId="0" applyFont="1" applyBorder="1" applyAlignment="1">
      <alignment/>
    </xf>
    <xf numFmtId="41" fontId="40" fillId="0" borderId="39" xfId="15" applyNumberFormat="1" applyFont="1" applyBorder="1" applyAlignment="1">
      <alignment/>
    </xf>
    <xf numFmtId="194" fontId="40" fillId="0" borderId="25" xfId="0" applyFont="1" applyBorder="1" applyAlignment="1" quotePrefix="1">
      <alignment horizontal="left" indent="1"/>
    </xf>
    <xf numFmtId="41" fontId="40" fillId="0" borderId="34" xfId="15" applyNumberFormat="1" applyFont="1" applyBorder="1" applyAlignment="1">
      <alignment/>
    </xf>
    <xf numFmtId="3" fontId="39" fillId="0" borderId="0" xfId="0" applyNumberFormat="1" applyFont="1" applyBorder="1" applyAlignment="1">
      <alignment horizontal="right"/>
    </xf>
    <xf numFmtId="194" fontId="40" fillId="0" borderId="25" xfId="0" applyFont="1" applyBorder="1" applyAlignment="1">
      <alignment horizontal="left" indent="1"/>
    </xf>
    <xf numFmtId="3" fontId="39" fillId="0" borderId="0" xfId="0" applyNumberFormat="1" applyFont="1" applyBorder="1" applyAlignment="1">
      <alignment/>
    </xf>
    <xf numFmtId="194" fontId="40" fillId="0" borderId="25" xfId="0" applyFont="1" applyBorder="1" applyAlignment="1">
      <alignment horizontal="right" indent="1"/>
    </xf>
    <xf numFmtId="194" fontId="46" fillId="0" borderId="25" xfId="0" applyFont="1" applyFill="1" applyBorder="1" applyAlignment="1">
      <alignment horizontal="left" indent="1"/>
    </xf>
    <xf numFmtId="194" fontId="39" fillId="0" borderId="35" xfId="0" applyNumberFormat="1" applyFont="1" applyBorder="1" applyAlignment="1" applyProtection="1" quotePrefix="1">
      <alignment horizontal="left" vertical="center" indent="1"/>
      <protection/>
    </xf>
    <xf numFmtId="194" fontId="39" fillId="0" borderId="36" xfId="0" applyFont="1" applyBorder="1" applyAlignment="1">
      <alignment vertical="center"/>
    </xf>
    <xf numFmtId="41" fontId="43" fillId="0" borderId="30" xfId="0" applyNumberFormat="1" applyFont="1" applyFill="1" applyBorder="1" applyAlignment="1" applyProtection="1">
      <alignment vertical="center"/>
      <protection/>
    </xf>
    <xf numFmtId="194" fontId="39" fillId="0" borderId="0" xfId="0" applyFont="1" applyAlignment="1">
      <alignment horizontal="centerContinuous" vertical="top"/>
    </xf>
    <xf numFmtId="194" fontId="47" fillId="0" borderId="16" xfId="0" applyFont="1" applyBorder="1" applyAlignment="1">
      <alignment horizontal="left" indent="1"/>
    </xf>
    <xf numFmtId="194" fontId="47" fillId="0" borderId="2" xfId="0" applyFont="1" applyBorder="1" applyAlignment="1">
      <alignment horizontal="center"/>
    </xf>
    <xf numFmtId="194" fontId="40" fillId="0" borderId="2" xfId="0" applyFont="1" applyBorder="1" applyAlignment="1">
      <alignment horizontal="center"/>
    </xf>
    <xf numFmtId="194" fontId="40" fillId="0" borderId="2" xfId="0" applyFont="1" applyBorder="1" applyAlignment="1">
      <alignment horizontal="right"/>
    </xf>
    <xf numFmtId="194" fontId="47" fillId="0" borderId="2" xfId="0" applyFont="1" applyBorder="1" applyAlignment="1">
      <alignment horizontal="right"/>
    </xf>
    <xf numFmtId="37" fontId="48" fillId="0" borderId="20" xfId="0" applyNumberFormat="1" applyFont="1" applyFill="1" applyBorder="1" applyAlignment="1" applyProtection="1">
      <alignment horizontal="left" vertical="center" indent="1"/>
      <protection/>
    </xf>
    <xf numFmtId="37" fontId="48" fillId="0" borderId="19" xfId="0" applyNumberFormat="1" applyFont="1" applyFill="1" applyBorder="1" applyAlignment="1" applyProtection="1">
      <alignment horizontal="left" vertical="center" indent="1"/>
      <protection/>
    </xf>
    <xf numFmtId="194" fontId="48" fillId="0" borderId="19" xfId="0" applyNumberFormat="1" applyFont="1" applyFill="1" applyBorder="1" applyAlignment="1" applyProtection="1">
      <alignment horizontal="left" vertical="center" indent="1"/>
      <protection/>
    </xf>
    <xf numFmtId="194" fontId="49" fillId="0" borderId="19" xfId="0" applyFont="1" applyBorder="1" applyAlignment="1">
      <alignment horizontal="left" vertical="center" indent="1"/>
    </xf>
    <xf numFmtId="194" fontId="49" fillId="0" borderId="40" xfId="0" applyFont="1" applyBorder="1" applyAlignment="1">
      <alignment horizontal="left" vertical="center" indent="1"/>
    </xf>
    <xf numFmtId="196" fontId="49" fillId="0" borderId="16" xfId="15" applyNumberFormat="1" applyFont="1" applyBorder="1" applyAlignment="1">
      <alignment horizontal="left" vertical="center" indent="1"/>
    </xf>
    <xf numFmtId="196" fontId="49" fillId="0" borderId="0" xfId="15" applyNumberFormat="1" applyFont="1" applyBorder="1" applyAlignment="1">
      <alignment/>
    </xf>
    <xf numFmtId="194" fontId="50" fillId="0" borderId="28" xfId="0" applyNumberFormat="1" applyFont="1" applyFill="1" applyBorder="1" applyAlignment="1" applyProtection="1">
      <alignment horizontal="left" vertical="center" indent="1"/>
      <protection/>
    </xf>
    <xf numFmtId="194" fontId="48" fillId="0" borderId="41" xfId="0" applyNumberFormat="1" applyFont="1" applyFill="1" applyBorder="1" applyAlignment="1" applyProtection="1">
      <alignment horizontal="left" vertical="center" indent="1"/>
      <protection/>
    </xf>
    <xf numFmtId="194" fontId="48" fillId="0" borderId="42" xfId="0" applyNumberFormat="1" applyFont="1" applyFill="1" applyBorder="1" applyAlignment="1" applyProtection="1">
      <alignment horizontal="left" vertical="center" indent="1"/>
      <protection/>
    </xf>
    <xf numFmtId="194" fontId="48" fillId="0" borderId="42" xfId="0" applyNumberFormat="1" applyFont="1" applyFill="1" applyBorder="1" applyAlignment="1" applyProtection="1">
      <alignment horizontal="left" vertical="top" wrapText="1" indent="1"/>
      <protection/>
    </xf>
    <xf numFmtId="194" fontId="52" fillId="0" borderId="0" xfId="0" applyFont="1" applyAlignment="1">
      <alignment/>
    </xf>
    <xf numFmtId="37" fontId="51" fillId="0" borderId="22" xfId="0" applyNumberFormat="1" applyFont="1" applyFill="1" applyBorder="1" applyAlignment="1" applyProtection="1">
      <alignment horizontal="left" vertical="center" indent="1"/>
      <protection/>
    </xf>
    <xf numFmtId="37" fontId="46" fillId="0" borderId="0" xfId="0" applyNumberFormat="1" applyFont="1" applyFill="1" applyBorder="1" applyAlignment="1" applyProtection="1">
      <alignment horizontal="left" vertical="center" indent="1"/>
      <protection/>
    </xf>
    <xf numFmtId="37" fontId="53" fillId="0" borderId="19" xfId="0" applyNumberFormat="1" applyFont="1" applyFill="1" applyBorder="1" applyAlignment="1" applyProtection="1">
      <alignment horizontal="left" vertical="center" indent="1"/>
      <protection/>
    </xf>
    <xf numFmtId="38" fontId="28" fillId="0" borderId="0" xfId="15" applyNumberFormat="1" applyFont="1" applyFill="1" applyBorder="1" applyAlignment="1">
      <alignment vertical="center"/>
    </xf>
    <xf numFmtId="197" fontId="28" fillId="0" borderId="0" xfId="15" applyNumberFormat="1" applyFont="1" applyFill="1" applyBorder="1" applyAlignment="1">
      <alignment vertical="center"/>
    </xf>
    <xf numFmtId="194" fontId="27" fillId="0" borderId="0" xfId="0" applyFont="1" applyBorder="1" applyAlignment="1">
      <alignment horizontal="left" vertical="center" indent="1"/>
    </xf>
    <xf numFmtId="38" fontId="27" fillId="0" borderId="0" xfId="15" applyNumberFormat="1" applyFont="1" applyFill="1" applyBorder="1" applyAlignment="1">
      <alignment vertical="center"/>
    </xf>
    <xf numFmtId="197" fontId="27" fillId="0" borderId="0" xfId="15" applyNumberFormat="1" applyFont="1" applyFill="1" applyBorder="1" applyAlignment="1">
      <alignment vertical="center"/>
    </xf>
    <xf numFmtId="194" fontId="42" fillId="0" borderId="0" xfId="0" applyFont="1" applyBorder="1" applyAlignment="1">
      <alignment/>
    </xf>
    <xf numFmtId="194" fontId="42" fillId="0" borderId="0" xfId="0" applyFont="1" applyAlignment="1">
      <alignment/>
    </xf>
    <xf numFmtId="3" fontId="40" fillId="0" borderId="34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197" fontId="14" fillId="0" borderId="13" xfId="0" applyNumberFormat="1" applyFont="1" applyFill="1" applyBorder="1" applyAlignment="1" applyProtection="1">
      <alignment vertical="center"/>
      <protection/>
    </xf>
    <xf numFmtId="39" fontId="10" fillId="0" borderId="2" xfId="0" applyNumberFormat="1" applyFont="1" applyFill="1" applyBorder="1" applyAlignment="1" applyProtection="1">
      <alignment horizontal="centerContinuous" vertical="top" wrapText="1"/>
      <protection/>
    </xf>
    <xf numFmtId="3" fontId="10" fillId="0" borderId="3" xfId="0" applyNumberFormat="1" applyFont="1" applyFill="1" applyBorder="1" applyAlignment="1" applyProtection="1">
      <alignment horizontal="centerContinuous" vertical="top" wrapText="1"/>
      <protection/>
    </xf>
    <xf numFmtId="194" fontId="42" fillId="0" borderId="0" xfId="0" applyFont="1" applyAlignment="1">
      <alignment/>
    </xf>
    <xf numFmtId="194" fontId="42" fillId="0" borderId="0" xfId="0" applyFont="1" applyBorder="1" applyAlignment="1">
      <alignment/>
    </xf>
    <xf numFmtId="194" fontId="48" fillId="0" borderId="43" xfId="0" applyNumberFormat="1" applyFont="1" applyFill="1" applyBorder="1" applyAlignment="1" applyProtection="1">
      <alignment horizontal="left" vertical="center" wrapText="1" indent="1"/>
      <protection/>
    </xf>
    <xf numFmtId="196" fontId="49" fillId="0" borderId="44" xfId="15" applyNumberFormat="1" applyFont="1" applyBorder="1" applyAlignment="1">
      <alignment horizontal="left" vertical="center" indent="1"/>
    </xf>
    <xf numFmtId="194" fontId="40" fillId="0" borderId="23" xfId="0" applyFont="1" applyBorder="1" applyAlignment="1">
      <alignment horizontal="left" indent="1"/>
    </xf>
    <xf numFmtId="3" fontId="11" fillId="0" borderId="9" xfId="0" applyNumberFormat="1" applyFont="1" applyBorder="1" applyAlignment="1">
      <alignment/>
    </xf>
    <xf numFmtId="3" fontId="34" fillId="3" borderId="10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37" fontId="26" fillId="3" borderId="0" xfId="0" applyNumberFormat="1" applyFont="1" applyFill="1" applyBorder="1" applyAlignment="1" applyProtection="1">
      <alignment horizontal="left" vertical="center"/>
      <protection locked="0"/>
    </xf>
    <xf numFmtId="194" fontId="27" fillId="3" borderId="0" xfId="0" applyFont="1" applyFill="1" applyAlignment="1">
      <alignment vertical="center"/>
    </xf>
    <xf numFmtId="37" fontId="35" fillId="3" borderId="0" xfId="0" applyNumberFormat="1" applyFont="1" applyFill="1" applyBorder="1" applyAlignment="1" applyProtection="1">
      <alignment horizontal="left" vertical="center"/>
      <protection locked="0"/>
    </xf>
    <xf numFmtId="194" fontId="8" fillId="3" borderId="0" xfId="0" applyFont="1" applyFill="1" applyAlignment="1">
      <alignment vertical="center"/>
    </xf>
    <xf numFmtId="37" fontId="22" fillId="3" borderId="0" xfId="0" applyNumberFormat="1" applyFont="1" applyFill="1" applyBorder="1" applyAlignment="1" applyProtection="1">
      <alignment horizontal="left" vertical="center" indent="1"/>
      <protection locked="0"/>
    </xf>
    <xf numFmtId="194" fontId="23" fillId="3" borderId="0" xfId="0" applyFont="1" applyFill="1" applyAlignment="1">
      <alignment vertical="center"/>
    </xf>
    <xf numFmtId="196" fontId="23" fillId="3" borderId="0" xfId="15" applyNumberFormat="1" applyFont="1" applyFill="1" applyAlignment="1">
      <alignment vertical="center"/>
    </xf>
    <xf numFmtId="194" fontId="0" fillId="0" borderId="0" xfId="0" applyAlignment="1">
      <alignment/>
    </xf>
    <xf numFmtId="197" fontId="13" fillId="0" borderId="35" xfId="15" applyNumberFormat="1" applyFont="1" applyBorder="1" applyAlignment="1" applyProtection="1">
      <alignment vertical="center"/>
      <protection locked="0"/>
    </xf>
    <xf numFmtId="197" fontId="13" fillId="0" borderId="13" xfId="15" applyNumberFormat="1" applyFont="1" applyBorder="1" applyAlignment="1" applyProtection="1">
      <alignment vertical="center"/>
      <protection locked="0"/>
    </xf>
    <xf numFmtId="197" fontId="13" fillId="0" borderId="13" xfId="15" applyNumberFormat="1" applyFont="1" applyBorder="1" applyAlignment="1">
      <alignment vertical="center"/>
    </xf>
    <xf numFmtId="197" fontId="13" fillId="2" borderId="13" xfId="15" applyNumberFormat="1" applyFont="1" applyFill="1" applyBorder="1" applyAlignment="1">
      <alignment vertical="center"/>
    </xf>
    <xf numFmtId="197" fontId="13" fillId="2" borderId="35" xfId="15" applyNumberFormat="1" applyFont="1" applyFill="1" applyBorder="1" applyAlignment="1">
      <alignment vertical="center"/>
    </xf>
    <xf numFmtId="197" fontId="13" fillId="0" borderId="35" xfId="15" applyNumberFormat="1" applyFont="1" applyBorder="1" applyAlignment="1">
      <alignment vertical="center"/>
    </xf>
    <xf numFmtId="197" fontId="13" fillId="0" borderId="9" xfId="15" applyNumberFormat="1" applyFont="1" applyBorder="1" applyAlignment="1" applyProtection="1">
      <alignment vertical="center"/>
      <protection locked="0"/>
    </xf>
    <xf numFmtId="10" fontId="13" fillId="0" borderId="9" xfId="26" applyNumberFormat="1" applyFont="1" applyBorder="1" applyAlignment="1">
      <alignment vertical="center"/>
    </xf>
    <xf numFmtId="194" fontId="13" fillId="0" borderId="9" xfId="0" applyFont="1" applyBorder="1" applyAlignment="1">
      <alignment vertical="center"/>
    </xf>
    <xf numFmtId="194" fontId="13" fillId="0" borderId="23" xfId="0" applyFont="1" applyBorder="1" applyAlignment="1">
      <alignment vertical="center"/>
    </xf>
    <xf numFmtId="197" fontId="13" fillId="0" borderId="9" xfId="15" applyNumberFormat="1" applyFont="1" applyFill="1" applyBorder="1" applyAlignment="1" applyProtection="1">
      <alignment vertical="center"/>
      <protection locked="0"/>
    </xf>
    <xf numFmtId="197" fontId="13" fillId="0" borderId="13" xfId="15" applyNumberFormat="1" applyFont="1" applyFill="1" applyBorder="1" applyAlignment="1" applyProtection="1">
      <alignment vertical="center"/>
      <protection locked="0"/>
    </xf>
    <xf numFmtId="197" fontId="13" fillId="0" borderId="13" xfId="15" applyNumberFormat="1" applyFont="1" applyFill="1" applyBorder="1" applyAlignment="1">
      <alignment vertical="center"/>
    </xf>
    <xf numFmtId="197" fontId="13" fillId="0" borderId="23" xfId="15" applyNumberFormat="1" applyFont="1" applyFill="1" applyBorder="1" applyAlignment="1" applyProtection="1">
      <alignment vertical="center"/>
      <protection locked="0"/>
    </xf>
    <xf numFmtId="197" fontId="13" fillId="0" borderId="35" xfId="15" applyNumberFormat="1" applyFont="1" applyFill="1" applyBorder="1" applyAlignment="1" applyProtection="1">
      <alignment vertical="center"/>
      <protection locked="0"/>
    </xf>
    <xf numFmtId="194" fontId="13" fillId="0" borderId="45" xfId="0" applyFont="1" applyBorder="1" applyAlignment="1">
      <alignment vertical="center"/>
    </xf>
    <xf numFmtId="194" fontId="13" fillId="0" borderId="29" xfId="0" applyFont="1" applyBorder="1" applyAlignment="1">
      <alignment vertical="center"/>
    </xf>
    <xf numFmtId="197" fontId="13" fillId="0" borderId="2" xfId="15" applyNumberFormat="1" applyFont="1" applyBorder="1" applyAlignment="1">
      <alignment vertical="center"/>
    </xf>
    <xf numFmtId="196" fontId="13" fillId="0" borderId="0" xfId="15" applyNumberFormat="1" applyFont="1" applyBorder="1" applyAlignment="1">
      <alignment vertical="center"/>
    </xf>
    <xf numFmtId="197" fontId="13" fillId="0" borderId="12" xfId="15" applyNumberFormat="1" applyFont="1" applyBorder="1" applyAlignment="1">
      <alignment vertical="center"/>
    </xf>
    <xf numFmtId="197" fontId="13" fillId="0" borderId="46" xfId="15" applyNumberFormat="1" applyFont="1" applyBorder="1" applyAlignment="1">
      <alignment vertical="center"/>
    </xf>
    <xf numFmtId="197" fontId="13" fillId="0" borderId="9" xfId="15" applyNumberFormat="1" applyFont="1" applyBorder="1" applyAlignment="1">
      <alignment vertical="center"/>
    </xf>
    <xf numFmtId="10" fontId="13" fillId="0" borderId="39" xfId="26" applyNumberFormat="1" applyFont="1" applyBorder="1" applyAlignment="1">
      <alignment vertical="center"/>
    </xf>
    <xf numFmtId="197" fontId="13" fillId="0" borderId="39" xfId="15" applyNumberFormat="1" applyFont="1" applyBorder="1" applyAlignment="1">
      <alignment vertical="center"/>
    </xf>
    <xf numFmtId="197" fontId="13" fillId="0" borderId="23" xfId="15" applyNumberFormat="1" applyFont="1" applyBorder="1" applyAlignment="1" applyProtection="1">
      <alignment vertical="center"/>
      <protection locked="0"/>
    </xf>
    <xf numFmtId="10" fontId="13" fillId="0" borderId="17" xfId="26" applyNumberFormat="1" applyFont="1" applyBorder="1" applyAlignment="1">
      <alignment vertical="center"/>
    </xf>
    <xf numFmtId="10" fontId="13" fillId="0" borderId="17" xfId="15" applyNumberFormat="1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41" fontId="43" fillId="0" borderId="38" xfId="0" applyNumberFormat="1" applyFont="1" applyFill="1" applyBorder="1" applyAlignment="1" applyProtection="1">
      <alignment/>
      <protection/>
    </xf>
    <xf numFmtId="194" fontId="0" fillId="0" borderId="0" xfId="0" applyFill="1" applyAlignment="1">
      <alignment/>
    </xf>
    <xf numFmtId="194" fontId="8" fillId="0" borderId="0" xfId="0" applyFont="1" applyFill="1" applyAlignment="1">
      <alignment/>
    </xf>
    <xf numFmtId="194" fontId="40" fillId="0" borderId="0" xfId="0" applyFont="1" applyFill="1" applyBorder="1" applyAlignment="1">
      <alignment/>
    </xf>
    <xf numFmtId="194" fontId="39" fillId="0" borderId="0" xfId="0" applyFont="1" applyFill="1" applyAlignment="1">
      <alignment/>
    </xf>
    <xf numFmtId="194" fontId="39" fillId="0" borderId="0" xfId="0" applyFont="1" applyFill="1" applyAlignment="1">
      <alignment horizontal="centerContinuous" wrapText="1"/>
    </xf>
    <xf numFmtId="37" fontId="26" fillId="0" borderId="24" xfId="0" applyNumberFormat="1" applyFont="1" applyFill="1" applyBorder="1" applyAlignment="1" applyProtection="1">
      <alignment horizontal="left" vertical="center" indent="1"/>
      <protection/>
    </xf>
    <xf numFmtId="38" fontId="26" fillId="2" borderId="24" xfId="0" applyNumberFormat="1" applyFont="1" applyFill="1" applyBorder="1" applyAlignment="1" applyProtection="1">
      <alignment vertical="center"/>
      <protection/>
    </xf>
    <xf numFmtId="197" fontId="27" fillId="0" borderId="24" xfId="0" applyNumberFormat="1" applyFont="1" applyFill="1" applyBorder="1" applyAlignment="1" applyProtection="1">
      <alignment vertical="center"/>
      <protection locked="0"/>
    </xf>
    <xf numFmtId="194" fontId="28" fillId="0" borderId="30" xfId="0" applyFont="1" applyBorder="1" applyAlignment="1">
      <alignment horizontal="left" vertical="center" indent="1"/>
    </xf>
    <xf numFmtId="38" fontId="28" fillId="0" borderId="30" xfId="15" applyNumberFormat="1" applyFont="1" applyFill="1" applyBorder="1" applyAlignment="1">
      <alignment vertical="center"/>
    </xf>
    <xf numFmtId="197" fontId="26" fillId="0" borderId="33" xfId="0" applyNumberFormat="1" applyFont="1" applyFill="1" applyBorder="1" applyAlignment="1" applyProtection="1">
      <alignment vertical="center"/>
      <protection/>
    </xf>
    <xf numFmtId="197" fontId="27" fillId="0" borderId="11" xfId="0" applyNumberFormat="1" applyFont="1" applyFill="1" applyBorder="1" applyAlignment="1" applyProtection="1">
      <alignment vertical="center"/>
      <protection locked="0"/>
    </xf>
    <xf numFmtId="41" fontId="46" fillId="0" borderId="39" xfId="0" applyNumberFormat="1" applyFont="1" applyFill="1" applyBorder="1" applyAlignment="1">
      <alignment horizontal="left"/>
    </xf>
    <xf numFmtId="194" fontId="13" fillId="0" borderId="0" xfId="0" applyFont="1" applyAlignment="1">
      <alignment horizontal="right"/>
    </xf>
    <xf numFmtId="194" fontId="13" fillId="0" borderId="0" xfId="0" applyFont="1" applyAlignment="1">
      <alignment horizontal="left"/>
    </xf>
    <xf numFmtId="194" fontId="54" fillId="0" borderId="0" xfId="0" applyFont="1" applyAlignment="1">
      <alignment/>
    </xf>
    <xf numFmtId="194" fontId="54" fillId="0" borderId="0" xfId="0" applyFont="1" applyAlignment="1">
      <alignment horizontal="left"/>
    </xf>
    <xf numFmtId="194" fontId="13" fillId="0" borderId="0" xfId="0" applyFont="1" applyAlignment="1">
      <alignment/>
    </xf>
    <xf numFmtId="194" fontId="27" fillId="0" borderId="0" xfId="0" applyFont="1" applyBorder="1" applyAlignment="1">
      <alignment horizontal="left" vertical="center" wrapText="1"/>
    </xf>
    <xf numFmtId="37" fontId="26" fillId="2" borderId="16" xfId="0" applyNumberFormat="1" applyFont="1" applyFill="1" applyBorder="1" applyAlignment="1" applyProtection="1">
      <alignment vertical="center" wrapText="1"/>
      <protection/>
    </xf>
    <xf numFmtId="194" fontId="46" fillId="0" borderId="0" xfId="0" applyFont="1" applyAlignment="1">
      <alignment wrapText="1"/>
    </xf>
    <xf numFmtId="194" fontId="40" fillId="0" borderId="25" xfId="0" applyFont="1" applyFill="1" applyBorder="1" applyAlignment="1">
      <alignment horizontal="right" indent="1"/>
    </xf>
    <xf numFmtId="194" fontId="49" fillId="0" borderId="19" xfId="0" applyFont="1" applyFill="1" applyBorder="1" applyAlignment="1">
      <alignment horizontal="left" vertical="center" indent="1"/>
    </xf>
    <xf numFmtId="37" fontId="26" fillId="0" borderId="30" xfId="0" applyNumberFormat="1" applyFont="1" applyFill="1" applyBorder="1" applyAlignment="1" applyProtection="1">
      <alignment horizontal="left" vertical="center" indent="1"/>
      <protection/>
    </xf>
    <xf numFmtId="38" fontId="26" fillId="0" borderId="30" xfId="0" applyNumberFormat="1" applyFont="1" applyFill="1" applyBorder="1" applyAlignment="1" applyProtection="1">
      <alignment vertical="center"/>
      <protection/>
    </xf>
    <xf numFmtId="197" fontId="26" fillId="0" borderId="30" xfId="0" applyNumberFormat="1" applyFont="1" applyFill="1" applyBorder="1" applyAlignment="1" applyProtection="1">
      <alignment vertical="center"/>
      <protection/>
    </xf>
    <xf numFmtId="197" fontId="27" fillId="0" borderId="30" xfId="0" applyNumberFormat="1" applyFont="1" applyFill="1" applyBorder="1" applyAlignment="1" applyProtection="1">
      <alignment vertical="center"/>
      <protection locked="0"/>
    </xf>
    <xf numFmtId="37" fontId="28" fillId="0" borderId="0" xfId="0" applyNumberFormat="1" applyFont="1" applyAlignment="1" applyProtection="1">
      <alignment horizontal="center" vertical="top"/>
      <protection/>
    </xf>
    <xf numFmtId="37" fontId="27" fillId="0" borderId="47" xfId="0" applyNumberFormat="1" applyFont="1" applyFill="1" applyBorder="1" applyAlignment="1" applyProtection="1">
      <alignment horizontal="center" vertical="top"/>
      <protection/>
    </xf>
    <xf numFmtId="194" fontId="40" fillId="0" borderId="0" xfId="0" applyFont="1" applyAlignment="1">
      <alignment horizontal="center"/>
    </xf>
    <xf numFmtId="194" fontId="0" fillId="0" borderId="0" xfId="0" applyAlignment="1">
      <alignment/>
    </xf>
    <xf numFmtId="194" fontId="42" fillId="0" borderId="0" xfId="0" applyFont="1" applyAlignment="1">
      <alignment horizontal="left"/>
    </xf>
    <xf numFmtId="194" fontId="42" fillId="0" borderId="0" xfId="0" applyFont="1" applyBorder="1" applyAlignment="1">
      <alignment horizontal="center" wrapText="1"/>
    </xf>
    <xf numFmtId="37" fontId="44" fillId="0" borderId="0" xfId="0" applyNumberFormat="1" applyFont="1" applyFill="1" applyAlignment="1" applyProtection="1">
      <alignment horizontal="center" wrapText="1"/>
      <protection locked="0"/>
    </xf>
    <xf numFmtId="194" fontId="43" fillId="0" borderId="0" xfId="0" applyNumberFormat="1" applyFont="1" applyFill="1" applyBorder="1" applyAlignment="1" applyProtection="1">
      <alignment horizontal="center" wrapText="1"/>
      <protection/>
    </xf>
    <xf numFmtId="194" fontId="51" fillId="0" borderId="48" xfId="0" applyNumberFormat="1" applyFont="1" applyFill="1" applyBorder="1" applyAlignment="1" applyProtection="1">
      <alignment horizontal="left" vertical="center"/>
      <protection/>
    </xf>
    <xf numFmtId="37" fontId="39" fillId="0" borderId="0" xfId="0" applyNumberFormat="1" applyFont="1" applyAlignment="1" applyProtection="1">
      <alignment horizontal="center" vertical="top"/>
      <protection/>
    </xf>
    <xf numFmtId="37" fontId="40" fillId="0" borderId="0" xfId="0" applyNumberFormat="1" applyFont="1" applyFill="1" applyAlignment="1" applyProtection="1">
      <alignment horizontal="center" vertical="top"/>
      <protection/>
    </xf>
    <xf numFmtId="194" fontId="44" fillId="0" borderId="47" xfId="0" applyFont="1" applyFill="1" applyBorder="1" applyAlignment="1">
      <alignment horizontal="center" vertical="top" wrapText="1"/>
    </xf>
    <xf numFmtId="194" fontId="21" fillId="0" borderId="0" xfId="0" applyFont="1" applyAlignment="1">
      <alignment horizontal="left" wrapText="1"/>
    </xf>
    <xf numFmtId="194" fontId="8" fillId="0" borderId="0" xfId="0" applyFont="1" applyAlignment="1">
      <alignment horizontal="center" vertical="top"/>
    </xf>
    <xf numFmtId="37" fontId="15" fillId="0" borderId="47" xfId="0" applyNumberFormat="1" applyFont="1" applyFill="1" applyBorder="1" applyAlignment="1" applyProtection="1">
      <alignment horizontal="center" vertical="top"/>
      <protection/>
    </xf>
    <xf numFmtId="37" fontId="11" fillId="0" borderId="0" xfId="0" applyNumberFormat="1" applyFont="1" applyAlignment="1" applyProtection="1">
      <alignment horizontal="center" vertical="top"/>
      <protection/>
    </xf>
    <xf numFmtId="37" fontId="25" fillId="0" borderId="0" xfId="0" applyNumberFormat="1" applyFont="1" applyFill="1" applyBorder="1" applyAlignment="1" applyProtection="1" quotePrefix="1">
      <alignment vertical="center" wrapText="1"/>
      <protection locked="0"/>
    </xf>
    <xf numFmtId="194" fontId="0" fillId="0" borderId="0" xfId="0" applyAlignment="1">
      <alignment vertical="center"/>
    </xf>
    <xf numFmtId="194" fontId="27" fillId="0" borderId="48" xfId="0" applyFont="1" applyBorder="1" applyAlignment="1">
      <alignment horizontal="left" vertical="center" wrapText="1"/>
    </xf>
    <xf numFmtId="194" fontId="27" fillId="0" borderId="0" xfId="0" applyFont="1" applyBorder="1" applyAlignment="1">
      <alignment horizontal="left" vertical="center" wrapText="1"/>
    </xf>
    <xf numFmtId="39" fontId="13" fillId="0" borderId="0" xfId="0" applyNumberFormat="1" applyFont="1" applyAlignment="1">
      <alignment horizontal="left"/>
    </xf>
    <xf numFmtId="194" fontId="54" fillId="0" borderId="0" xfId="0" applyFont="1" applyAlignment="1">
      <alignment horizontal="left"/>
    </xf>
    <xf numFmtId="194" fontId="27" fillId="0" borderId="0" xfId="0" applyFont="1" applyAlignment="1">
      <alignment horizontal="center" vertical="top"/>
    </xf>
    <xf numFmtId="194" fontId="4" fillId="0" borderId="0" xfId="0" applyFont="1" applyAlignment="1">
      <alignment/>
    </xf>
    <xf numFmtId="194" fontId="37" fillId="0" borderId="0" xfId="0" applyFont="1" applyAlignment="1">
      <alignment/>
    </xf>
    <xf numFmtId="37" fontId="27" fillId="0" borderId="47" xfId="0" applyNumberFormat="1" applyFont="1" applyBorder="1" applyAlignment="1" applyProtection="1">
      <alignment horizontal="center" vertical="top"/>
      <protection/>
    </xf>
    <xf numFmtId="194" fontId="27" fillId="0" borderId="0" xfId="0" applyFont="1" applyFill="1" applyBorder="1" applyAlignment="1">
      <alignment horizontal="left" vertical="center" wrapText="1"/>
    </xf>
    <xf numFmtId="194" fontId="0" fillId="0" borderId="0" xfId="0" applyFill="1" applyAlignment="1">
      <alignment vertical="center" wrapText="1"/>
    </xf>
    <xf numFmtId="37" fontId="38" fillId="0" borderId="0" xfId="0" applyNumberFormat="1" applyFont="1" applyAlignment="1" applyProtection="1">
      <alignment horizontal="center" vertical="top"/>
      <protection/>
    </xf>
    <xf numFmtId="37" fontId="34" fillId="0" borderId="47" xfId="0" applyNumberFormat="1" applyFont="1" applyBorder="1" applyAlignment="1" applyProtection="1">
      <alignment horizontal="center" vertical="top"/>
      <protection/>
    </xf>
    <xf numFmtId="37" fontId="15" fillId="0" borderId="47" xfId="0" applyNumberFormat="1" applyFont="1" applyBorder="1" applyAlignment="1" applyProtection="1">
      <alignment horizontal="center" vertical="top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_Book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152400</xdr:colOff>
      <xdr:row>16</xdr:row>
      <xdr:rowOff>200025</xdr:rowOff>
    </xdr:from>
    <xdr:to>
      <xdr:col>6</xdr:col>
      <xdr:colOff>647700</xdr:colOff>
      <xdr:row>19</xdr:row>
      <xdr:rowOff>161925</xdr:rowOff>
    </xdr:to>
    <xdr:sp>
      <xdr:nvSpPr>
        <xdr:cNvPr id="1" name="Comment 1"/>
        <xdr:cNvSpPr>
          <a:spLocks/>
        </xdr:cNvSpPr>
      </xdr:nvSpPr>
      <xdr:spPr>
        <a:xfrm>
          <a:off x="7839075" y="3990975"/>
          <a:ext cx="2867025" cy="6953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Inputs to cells come from the net approvals for which resources are transferred.</a:t>
          </a:r>
        </a:p>
      </xdr:txBody>
    </xdr:sp>
    <xdr:clientData/>
  </xdr:twoCellAnchor>
  <xdr:twoCellAnchor editAs="absolute">
    <xdr:from>
      <xdr:col>3</xdr:col>
      <xdr:colOff>152400</xdr:colOff>
      <xdr:row>25</xdr:row>
      <xdr:rowOff>266700</xdr:rowOff>
    </xdr:from>
    <xdr:to>
      <xdr:col>7</xdr:col>
      <xdr:colOff>247650</xdr:colOff>
      <xdr:row>29</xdr:row>
      <xdr:rowOff>57150</xdr:rowOff>
    </xdr:to>
    <xdr:sp>
      <xdr:nvSpPr>
        <xdr:cNvPr id="2" name="Comment 2"/>
        <xdr:cNvSpPr>
          <a:spLocks/>
        </xdr:cNvSpPr>
      </xdr:nvSpPr>
      <xdr:spPr>
        <a:xfrm>
          <a:off x="7839075" y="6181725"/>
          <a:ext cx="3314700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Secretariat costs and its programme support costs from the aggregated historical statistics and commitments of the main Secretariat project.</a:t>
          </a:r>
        </a:p>
      </xdr:txBody>
    </xdr:sp>
    <xdr:clientData/>
  </xdr:twoCellAnchor>
  <xdr:twoCellAnchor editAs="absolute">
    <xdr:from>
      <xdr:col>3</xdr:col>
      <xdr:colOff>152400</xdr:colOff>
      <xdr:row>31</xdr:row>
      <xdr:rowOff>95250</xdr:rowOff>
    </xdr:from>
    <xdr:to>
      <xdr:col>6</xdr:col>
      <xdr:colOff>438150</xdr:colOff>
      <xdr:row>35</xdr:row>
      <xdr:rowOff>38100</xdr:rowOff>
    </xdr:to>
    <xdr:sp>
      <xdr:nvSpPr>
        <xdr:cNvPr id="3" name="Comment 3"/>
        <xdr:cNvSpPr>
          <a:spLocks/>
        </xdr:cNvSpPr>
      </xdr:nvSpPr>
      <xdr:spPr>
        <a:xfrm>
          <a:off x="7839075" y="7505700"/>
          <a:ext cx="2657475" cy="8572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Monitoring &amp; Evaluation costs from the aggregated historical statistics and commitments of the project.</a:t>
          </a:r>
        </a:p>
      </xdr:txBody>
    </xdr:sp>
    <xdr:clientData/>
  </xdr:twoCellAnchor>
  <xdr:twoCellAnchor editAs="absolute">
    <xdr:from>
      <xdr:col>3</xdr:col>
      <xdr:colOff>171450</xdr:colOff>
      <xdr:row>4</xdr:row>
      <xdr:rowOff>123825</xdr:rowOff>
    </xdr:from>
    <xdr:to>
      <xdr:col>6</xdr:col>
      <xdr:colOff>495300</xdr:colOff>
      <xdr:row>7</xdr:row>
      <xdr:rowOff>257175</xdr:rowOff>
    </xdr:to>
    <xdr:sp>
      <xdr:nvSpPr>
        <xdr:cNvPr id="4" name="Comment 5"/>
        <xdr:cNvSpPr>
          <a:spLocks/>
        </xdr:cNvSpPr>
      </xdr:nvSpPr>
      <xdr:spPr>
        <a:xfrm>
          <a:off x="7858125" y="923925"/>
          <a:ext cx="2695575" cy="7239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Input the date of the status here and it is automatically picked by the other sheets.</a:t>
          </a:r>
        </a:p>
      </xdr:txBody>
    </xdr:sp>
    <xdr:clientData/>
  </xdr:twoCellAnchor>
  <xdr:twoCellAnchor editAs="absolute">
    <xdr:from>
      <xdr:col>3</xdr:col>
      <xdr:colOff>466725</xdr:colOff>
      <xdr:row>41</xdr:row>
      <xdr:rowOff>133350</xdr:rowOff>
    </xdr:from>
    <xdr:to>
      <xdr:col>6</xdr:col>
      <xdr:colOff>304800</xdr:colOff>
      <xdr:row>44</xdr:row>
      <xdr:rowOff>171450</xdr:rowOff>
    </xdr:to>
    <xdr:sp>
      <xdr:nvSpPr>
        <xdr:cNvPr id="5" name="Comment 8"/>
        <xdr:cNvSpPr>
          <a:spLocks/>
        </xdr:cNvSpPr>
      </xdr:nvSpPr>
      <xdr:spPr>
        <a:xfrm>
          <a:off x="8153400" y="9744075"/>
          <a:ext cx="2209800" cy="7239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The gain or loss resulting from the calculations of the implementation of FERM/ PN USERS  less actual gain on exchange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56th\DOCUMENTS\English\Finals\560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statistics"/>
      <sheetName val="YR91-08"/>
      <sheetName val="YR2008"/>
      <sheetName val="YR2007"/>
      <sheetName val="YR2006"/>
      <sheetName val="YR03-05"/>
      <sheetName val="YR2005"/>
      <sheetName val="YR2004"/>
      <sheetName val="YR2003"/>
      <sheetName val="YR91-02"/>
      <sheetName val="YR2002"/>
      <sheetName val="YR2001"/>
      <sheetName val="YR2000"/>
      <sheetName val="YR00-02"/>
      <sheetName val="YR97-99"/>
      <sheetName val="YR94-96"/>
      <sheetName val="YR91-93"/>
      <sheetName val="YR99"/>
      <sheetName val="YR98"/>
      <sheetName val="YR97"/>
      <sheetName val="YR96"/>
      <sheetName val="YR95"/>
      <sheetName val="YR94"/>
      <sheetName val="YR93"/>
      <sheetName val="YR92"/>
      <sheetName val="YR91"/>
    </sheetNames>
    <sheetDataSet>
      <sheetData sheetId="14">
        <row r="8">
          <cell r="B8">
            <v>7446783</v>
          </cell>
          <cell r="C8">
            <v>6913302.99</v>
          </cell>
          <cell r="D8">
            <v>533480</v>
          </cell>
          <cell r="E8">
            <v>0</v>
          </cell>
        </row>
        <row r="9">
          <cell r="B9">
            <v>4728354</v>
          </cell>
          <cell r="C9">
            <v>4728354</v>
          </cell>
          <cell r="D9">
            <v>0</v>
          </cell>
          <cell r="E9">
            <v>0</v>
          </cell>
        </row>
        <row r="10">
          <cell r="B10">
            <v>110547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412035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5542377</v>
          </cell>
          <cell r="C12">
            <v>5542377</v>
          </cell>
          <cell r="D12">
            <v>0</v>
          </cell>
          <cell r="E12">
            <v>0</v>
          </cell>
        </row>
        <row r="13">
          <cell r="B13">
            <v>95472</v>
          </cell>
          <cell r="C13">
            <v>95472</v>
          </cell>
          <cell r="D13">
            <v>0</v>
          </cell>
          <cell r="E13">
            <v>0</v>
          </cell>
        </row>
        <row r="14">
          <cell r="B14">
            <v>13838352</v>
          </cell>
          <cell r="C14">
            <v>11517069</v>
          </cell>
          <cell r="D14">
            <v>2321283</v>
          </cell>
          <cell r="E14">
            <v>0</v>
          </cell>
        </row>
        <row r="15">
          <cell r="B15">
            <v>608004</v>
          </cell>
          <cell r="C15">
            <v>608004</v>
          </cell>
          <cell r="D15">
            <v>0</v>
          </cell>
          <cell r="E15">
            <v>0</v>
          </cell>
        </row>
        <row r="16">
          <cell r="B16">
            <v>3472149</v>
          </cell>
          <cell r="C16">
            <v>3472149</v>
          </cell>
          <cell r="D16">
            <v>0</v>
          </cell>
          <cell r="E16">
            <v>0</v>
          </cell>
        </row>
        <row r="17">
          <cell r="B17">
            <v>75372</v>
          </cell>
          <cell r="C17">
            <v>75372</v>
          </cell>
          <cell r="D17">
            <v>0</v>
          </cell>
          <cell r="E17">
            <v>0</v>
          </cell>
        </row>
        <row r="18">
          <cell r="B18">
            <v>2723451</v>
          </cell>
          <cell r="C18">
            <v>2723451</v>
          </cell>
          <cell r="D18">
            <v>0</v>
          </cell>
          <cell r="E18">
            <v>0</v>
          </cell>
        </row>
        <row r="19">
          <cell r="B19">
            <v>32862321</v>
          </cell>
          <cell r="C19">
            <v>30888221</v>
          </cell>
          <cell r="D19">
            <v>2008725</v>
          </cell>
          <cell r="E19">
            <v>0</v>
          </cell>
        </row>
        <row r="20">
          <cell r="B20">
            <v>49283430</v>
          </cell>
          <cell r="C20">
            <v>39426743</v>
          </cell>
          <cell r="D20">
            <v>9856687</v>
          </cell>
          <cell r="E20">
            <v>0</v>
          </cell>
        </row>
        <row r="21">
          <cell r="B21">
            <v>1763712</v>
          </cell>
          <cell r="C21">
            <v>1814083.29</v>
          </cell>
          <cell r="D21">
            <v>0</v>
          </cell>
          <cell r="E21">
            <v>0</v>
          </cell>
        </row>
        <row r="22">
          <cell r="B22">
            <v>602979</v>
          </cell>
          <cell r="C22">
            <v>602979</v>
          </cell>
          <cell r="D22">
            <v>0</v>
          </cell>
          <cell r="E22">
            <v>0</v>
          </cell>
        </row>
        <row r="23">
          <cell r="B23">
            <v>160794</v>
          </cell>
          <cell r="C23">
            <v>160794</v>
          </cell>
          <cell r="D23">
            <v>0</v>
          </cell>
          <cell r="E23">
            <v>0</v>
          </cell>
        </row>
        <row r="24">
          <cell r="B24">
            <v>1125558</v>
          </cell>
          <cell r="C24">
            <v>1125558</v>
          </cell>
          <cell r="D24">
            <v>0</v>
          </cell>
          <cell r="E24">
            <v>0</v>
          </cell>
        </row>
        <row r="25">
          <cell r="B25">
            <v>1733562</v>
          </cell>
          <cell r="C25">
            <v>605345</v>
          </cell>
          <cell r="D25">
            <v>38106</v>
          </cell>
          <cell r="E25">
            <v>0</v>
          </cell>
        </row>
        <row r="26">
          <cell r="B26">
            <v>27294819</v>
          </cell>
          <cell r="C26">
            <v>21973973.04</v>
          </cell>
          <cell r="D26">
            <v>5320845.96</v>
          </cell>
          <cell r="E26">
            <v>0</v>
          </cell>
        </row>
        <row r="27">
          <cell r="B27">
            <v>100415994</v>
          </cell>
          <cell r="C27">
            <v>98828348.57</v>
          </cell>
          <cell r="D27">
            <v>1587648.43</v>
          </cell>
          <cell r="E27">
            <v>0</v>
          </cell>
        </row>
        <row r="28">
          <cell r="B28">
            <v>120597</v>
          </cell>
          <cell r="C28">
            <v>120597</v>
          </cell>
          <cell r="D28">
            <v>0</v>
          </cell>
          <cell r="E28">
            <v>0</v>
          </cell>
        </row>
        <row r="29">
          <cell r="B29">
            <v>30150</v>
          </cell>
          <cell r="C29">
            <v>30150</v>
          </cell>
          <cell r="D29">
            <v>0</v>
          </cell>
          <cell r="E29">
            <v>0</v>
          </cell>
        </row>
        <row r="30">
          <cell r="B30">
            <v>110547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341688</v>
          </cell>
          <cell r="C31">
            <v>341688</v>
          </cell>
          <cell r="D31">
            <v>0</v>
          </cell>
          <cell r="E31">
            <v>0</v>
          </cell>
        </row>
        <row r="32">
          <cell r="B32">
            <v>20100</v>
          </cell>
          <cell r="C32">
            <v>20080</v>
          </cell>
          <cell r="D32">
            <v>0</v>
          </cell>
          <cell r="E32">
            <v>0</v>
          </cell>
        </row>
        <row r="33">
          <cell r="B33">
            <v>8195481</v>
          </cell>
          <cell r="C33">
            <v>8195481</v>
          </cell>
          <cell r="D33">
            <v>0</v>
          </cell>
          <cell r="E33">
            <v>0</v>
          </cell>
        </row>
        <row r="34">
          <cell r="B34">
            <v>1110486</v>
          </cell>
          <cell r="C34">
            <v>1110486</v>
          </cell>
          <cell r="D34">
            <v>0</v>
          </cell>
          <cell r="E34">
            <v>0</v>
          </cell>
        </row>
        <row r="35">
          <cell r="B35">
            <v>3065139</v>
          </cell>
          <cell r="C35">
            <v>3065139</v>
          </cell>
          <cell r="D35">
            <v>0</v>
          </cell>
          <cell r="E35">
            <v>0</v>
          </cell>
        </row>
        <row r="36">
          <cell r="B36">
            <v>1040136</v>
          </cell>
          <cell r="C36">
            <v>927136</v>
          </cell>
          <cell r="D36">
            <v>113000</v>
          </cell>
          <cell r="E36">
            <v>0</v>
          </cell>
        </row>
        <row r="37">
          <cell r="B37">
            <v>2095350</v>
          </cell>
          <cell r="C37">
            <v>2095350</v>
          </cell>
          <cell r="D37">
            <v>0</v>
          </cell>
          <cell r="E37">
            <v>0</v>
          </cell>
        </row>
        <row r="38">
          <cell r="B38">
            <v>7471905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195969</v>
          </cell>
          <cell r="C39">
            <v>195969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13009257</v>
          </cell>
          <cell r="C41">
            <v>13009257</v>
          </cell>
          <cell r="D41">
            <v>0</v>
          </cell>
          <cell r="E41">
            <v>0</v>
          </cell>
        </row>
        <row r="42">
          <cell r="B42">
            <v>5446905</v>
          </cell>
          <cell r="C42">
            <v>4735239</v>
          </cell>
          <cell r="D42">
            <v>711666</v>
          </cell>
          <cell r="E42">
            <v>0</v>
          </cell>
        </row>
        <row r="43">
          <cell r="B43">
            <v>6105156</v>
          </cell>
          <cell r="C43">
            <v>5953926</v>
          </cell>
          <cell r="D43">
            <v>151230</v>
          </cell>
          <cell r="E43">
            <v>0</v>
          </cell>
        </row>
        <row r="44">
          <cell r="B44">
            <v>25125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40197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1517496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25576332</v>
          </cell>
          <cell r="C47">
            <v>25576332</v>
          </cell>
          <cell r="D47">
            <v>0</v>
          </cell>
          <cell r="E47">
            <v>0</v>
          </cell>
        </row>
        <row r="48">
          <cell r="B48">
            <v>110000001</v>
          </cell>
          <cell r="C48">
            <v>110000001</v>
          </cell>
          <cell r="D48">
            <v>0</v>
          </cell>
          <cell r="E48">
            <v>0</v>
          </cell>
        </row>
        <row r="49">
          <cell r="B49">
            <v>185919</v>
          </cell>
          <cell r="C49">
            <v>61973</v>
          </cell>
          <cell r="D49">
            <v>0</v>
          </cell>
          <cell r="E49">
            <v>0</v>
          </cell>
        </row>
      </sheetData>
      <sheetData sheetId="15">
        <row r="8">
          <cell r="B8">
            <v>8158353</v>
          </cell>
          <cell r="C8">
            <v>8158353</v>
          </cell>
          <cell r="D8">
            <v>0</v>
          </cell>
          <cell r="E8">
            <v>0</v>
          </cell>
        </row>
        <row r="9">
          <cell r="B9">
            <v>4768227</v>
          </cell>
          <cell r="C9">
            <v>4753065</v>
          </cell>
          <cell r="D9">
            <v>15162</v>
          </cell>
          <cell r="E9">
            <v>0</v>
          </cell>
        </row>
        <row r="10">
          <cell r="B10">
            <v>647706</v>
          </cell>
          <cell r="C10">
            <v>248500.66999999998</v>
          </cell>
          <cell r="D10">
            <v>0</v>
          </cell>
          <cell r="E10">
            <v>0</v>
          </cell>
        </row>
        <row r="11">
          <cell r="B11">
            <v>1612377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5553744</v>
          </cell>
          <cell r="C12">
            <v>5553744</v>
          </cell>
          <cell r="D12">
            <v>0</v>
          </cell>
          <cell r="E12">
            <v>0</v>
          </cell>
        </row>
        <row r="13">
          <cell r="B13">
            <v>68000</v>
          </cell>
          <cell r="C13">
            <v>68000</v>
          </cell>
          <cell r="D13">
            <v>0</v>
          </cell>
          <cell r="E13">
            <v>0</v>
          </cell>
        </row>
        <row r="14">
          <cell r="B14">
            <v>17102223</v>
          </cell>
          <cell r="C14">
            <v>15062417.610000001</v>
          </cell>
          <cell r="D14">
            <v>2039805</v>
          </cell>
          <cell r="E14">
            <v>0</v>
          </cell>
        </row>
        <row r="15">
          <cell r="B15">
            <v>1332440</v>
          </cell>
          <cell r="C15">
            <v>1332440</v>
          </cell>
          <cell r="D15">
            <v>0</v>
          </cell>
          <cell r="E15">
            <v>0</v>
          </cell>
        </row>
        <row r="16">
          <cell r="B16">
            <v>3955149</v>
          </cell>
          <cell r="C16">
            <v>3955149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3403908</v>
          </cell>
          <cell r="C18">
            <v>3055478</v>
          </cell>
          <cell r="D18">
            <v>348430</v>
          </cell>
          <cell r="E18">
            <v>0</v>
          </cell>
        </row>
        <row r="19">
          <cell r="B19">
            <v>35320710</v>
          </cell>
          <cell r="C19">
            <v>30062243.259999998</v>
          </cell>
          <cell r="D19">
            <v>5258467</v>
          </cell>
          <cell r="E19">
            <v>0</v>
          </cell>
        </row>
        <row r="20">
          <cell r="B20">
            <v>49845885</v>
          </cell>
          <cell r="C20">
            <v>39876708</v>
          </cell>
          <cell r="D20">
            <v>9969177</v>
          </cell>
          <cell r="E20">
            <v>0</v>
          </cell>
        </row>
        <row r="21">
          <cell r="B21">
            <v>2094711</v>
          </cell>
          <cell r="C21">
            <v>2094710.76</v>
          </cell>
          <cell r="D21">
            <v>0</v>
          </cell>
          <cell r="E21">
            <v>0</v>
          </cell>
        </row>
        <row r="22">
          <cell r="B22">
            <v>771735</v>
          </cell>
          <cell r="C22">
            <v>771735</v>
          </cell>
          <cell r="D22">
            <v>0</v>
          </cell>
          <cell r="E22">
            <v>0</v>
          </cell>
        </row>
        <row r="23">
          <cell r="B23">
            <v>165372</v>
          </cell>
          <cell r="C23">
            <v>165372</v>
          </cell>
          <cell r="D23">
            <v>0</v>
          </cell>
          <cell r="E23">
            <v>0</v>
          </cell>
        </row>
        <row r="24">
          <cell r="B24">
            <v>1157604</v>
          </cell>
          <cell r="C24">
            <v>1157604</v>
          </cell>
          <cell r="D24">
            <v>0</v>
          </cell>
          <cell r="E24">
            <v>0</v>
          </cell>
        </row>
        <row r="25">
          <cell r="B25">
            <v>1474566</v>
          </cell>
          <cell r="C25">
            <v>1474566</v>
          </cell>
          <cell r="D25">
            <v>0</v>
          </cell>
          <cell r="E25">
            <v>0</v>
          </cell>
        </row>
        <row r="26">
          <cell r="B26">
            <v>28650705</v>
          </cell>
          <cell r="C26">
            <v>28650705</v>
          </cell>
          <cell r="D26">
            <v>0</v>
          </cell>
          <cell r="E26">
            <v>0</v>
          </cell>
        </row>
        <row r="27">
          <cell r="B27">
            <v>85083909</v>
          </cell>
          <cell r="C27">
            <v>76725989.19000001</v>
          </cell>
          <cell r="D27">
            <v>2685660.81</v>
          </cell>
          <cell r="E27">
            <v>0</v>
          </cell>
        </row>
        <row r="28">
          <cell r="B28">
            <v>139131</v>
          </cell>
          <cell r="C28">
            <v>139131</v>
          </cell>
          <cell r="D28">
            <v>0</v>
          </cell>
          <cell r="E28">
            <v>0</v>
          </cell>
        </row>
        <row r="29">
          <cell r="B29">
            <v>55125</v>
          </cell>
          <cell r="C29">
            <v>55125</v>
          </cell>
          <cell r="D29">
            <v>0</v>
          </cell>
          <cell r="E29">
            <v>0</v>
          </cell>
        </row>
        <row r="30">
          <cell r="B30">
            <v>259310</v>
          </cell>
          <cell r="C30">
            <v>55077.88</v>
          </cell>
          <cell r="D30">
            <v>0</v>
          </cell>
          <cell r="E30">
            <v>0</v>
          </cell>
        </row>
        <row r="31">
          <cell r="B31">
            <v>385869</v>
          </cell>
          <cell r="C31">
            <v>385869</v>
          </cell>
          <cell r="D31">
            <v>0</v>
          </cell>
          <cell r="E31">
            <v>0</v>
          </cell>
        </row>
        <row r="32">
          <cell r="B32">
            <v>55125</v>
          </cell>
          <cell r="C32">
            <v>55125</v>
          </cell>
          <cell r="D32">
            <v>0</v>
          </cell>
          <cell r="E32">
            <v>0</v>
          </cell>
        </row>
        <row r="33">
          <cell r="B33">
            <v>8750937</v>
          </cell>
          <cell r="C33">
            <v>8750937</v>
          </cell>
          <cell r="D33">
            <v>0</v>
          </cell>
          <cell r="E33">
            <v>0</v>
          </cell>
        </row>
        <row r="34">
          <cell r="B34">
            <v>1322976</v>
          </cell>
          <cell r="C34">
            <v>1322975.6</v>
          </cell>
          <cell r="D34">
            <v>0</v>
          </cell>
          <cell r="E34">
            <v>0</v>
          </cell>
        </row>
        <row r="35">
          <cell r="B35">
            <v>3086946</v>
          </cell>
          <cell r="C35">
            <v>3086946</v>
          </cell>
          <cell r="D35">
            <v>0</v>
          </cell>
          <cell r="E35">
            <v>0</v>
          </cell>
        </row>
        <row r="36">
          <cell r="B36">
            <v>1860435</v>
          </cell>
          <cell r="C36">
            <v>1860435</v>
          </cell>
          <cell r="D36">
            <v>0</v>
          </cell>
          <cell r="E36">
            <v>0</v>
          </cell>
        </row>
        <row r="37">
          <cell r="B37">
            <v>1515909</v>
          </cell>
          <cell r="C37">
            <v>1515909</v>
          </cell>
          <cell r="D37">
            <v>0</v>
          </cell>
          <cell r="E37">
            <v>0</v>
          </cell>
        </row>
        <row r="38">
          <cell r="B38">
            <v>24530184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454773</v>
          </cell>
          <cell r="C39">
            <v>454773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2">
          <cell r="B42">
            <v>13023048</v>
          </cell>
          <cell r="C42">
            <v>13023048</v>
          </cell>
          <cell r="D42">
            <v>0</v>
          </cell>
          <cell r="E42">
            <v>0</v>
          </cell>
        </row>
        <row r="43">
          <cell r="B43">
            <v>6766473</v>
          </cell>
          <cell r="C43">
            <v>6335623</v>
          </cell>
          <cell r="D43">
            <v>430850</v>
          </cell>
          <cell r="E43">
            <v>0</v>
          </cell>
        </row>
        <row r="44">
          <cell r="B44">
            <v>6670005</v>
          </cell>
          <cell r="C44">
            <v>6636105</v>
          </cell>
          <cell r="D44">
            <v>33900</v>
          </cell>
          <cell r="E44">
            <v>0</v>
          </cell>
        </row>
        <row r="45">
          <cell r="B45">
            <v>65746</v>
          </cell>
          <cell r="C45">
            <v>8686</v>
          </cell>
          <cell r="D45">
            <v>0</v>
          </cell>
          <cell r="E45">
            <v>0</v>
          </cell>
        </row>
        <row r="46">
          <cell r="B46">
            <v>179154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5555291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29298411</v>
          </cell>
          <cell r="C48">
            <v>28733411</v>
          </cell>
          <cell r="D48">
            <v>565000</v>
          </cell>
          <cell r="E48">
            <v>0</v>
          </cell>
        </row>
        <row r="49">
          <cell r="B49">
            <v>116499999</v>
          </cell>
          <cell r="C49">
            <v>115858703</v>
          </cell>
          <cell r="D49">
            <v>641296</v>
          </cell>
          <cell r="E49">
            <v>0</v>
          </cell>
        </row>
        <row r="50">
          <cell r="B50">
            <v>332255</v>
          </cell>
          <cell r="C50">
            <v>105500</v>
          </cell>
          <cell r="D50">
            <v>0</v>
          </cell>
          <cell r="E50">
            <v>0</v>
          </cell>
        </row>
      </sheetData>
      <sheetData sheetId="16">
        <row r="8">
          <cell r="B8">
            <v>7845588</v>
          </cell>
          <cell r="C8">
            <v>7276402</v>
          </cell>
          <cell r="D8">
            <v>569186</v>
          </cell>
          <cell r="E8">
            <v>0</v>
          </cell>
        </row>
        <row r="9">
          <cell r="B9">
            <v>4123053</v>
          </cell>
          <cell r="C9">
            <v>4006425</v>
          </cell>
          <cell r="D9">
            <v>116628</v>
          </cell>
          <cell r="E9">
            <v>0</v>
          </cell>
        </row>
        <row r="10">
          <cell r="B10">
            <v>63182</v>
          </cell>
          <cell r="C10">
            <v>63182</v>
          </cell>
          <cell r="D10">
            <v>0</v>
          </cell>
          <cell r="E10">
            <v>0</v>
          </cell>
        </row>
        <row r="11">
          <cell r="B11">
            <v>160066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5452741</v>
          </cell>
          <cell r="C12">
            <v>5452741</v>
          </cell>
          <cell r="D12">
            <v>0</v>
          </cell>
          <cell r="E12">
            <v>0</v>
          </cell>
        </row>
        <row r="13">
          <cell r="B13">
            <v>529218</v>
          </cell>
          <cell r="C13">
            <v>529218</v>
          </cell>
          <cell r="D13">
            <v>0</v>
          </cell>
          <cell r="E13">
            <v>0</v>
          </cell>
        </row>
        <row r="14">
          <cell r="B14">
            <v>16253343</v>
          </cell>
          <cell r="C14">
            <v>14815493</v>
          </cell>
          <cell r="D14">
            <v>1437850</v>
          </cell>
          <cell r="E14">
            <v>0</v>
          </cell>
        </row>
        <row r="16">
          <cell r="B16">
            <v>1918089</v>
          </cell>
          <cell r="C16">
            <v>1918089</v>
          </cell>
          <cell r="D16">
            <v>0</v>
          </cell>
          <cell r="E16">
            <v>0</v>
          </cell>
        </row>
        <row r="17">
          <cell r="B17">
            <v>3517291</v>
          </cell>
          <cell r="C17">
            <v>3312291</v>
          </cell>
          <cell r="D17">
            <v>205000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3064031</v>
          </cell>
          <cell r="C19">
            <v>2960591</v>
          </cell>
          <cell r="D19">
            <v>103440</v>
          </cell>
          <cell r="E19">
            <v>0</v>
          </cell>
        </row>
        <row r="20">
          <cell r="B20">
            <v>31398558</v>
          </cell>
          <cell r="C20">
            <v>30073555</v>
          </cell>
          <cell r="D20">
            <v>1325003</v>
          </cell>
          <cell r="E20">
            <v>0</v>
          </cell>
        </row>
        <row r="21">
          <cell r="B21">
            <v>46731522</v>
          </cell>
          <cell r="C21">
            <v>45394604</v>
          </cell>
          <cell r="D21">
            <v>1336918</v>
          </cell>
          <cell r="E21">
            <v>0</v>
          </cell>
        </row>
        <row r="22">
          <cell r="B22">
            <v>1882874</v>
          </cell>
          <cell r="C22">
            <v>1882874</v>
          </cell>
          <cell r="D22">
            <v>0</v>
          </cell>
          <cell r="E22">
            <v>0</v>
          </cell>
        </row>
        <row r="23">
          <cell r="B23">
            <v>871800</v>
          </cell>
          <cell r="C23">
            <v>871800</v>
          </cell>
          <cell r="D23">
            <v>0</v>
          </cell>
          <cell r="E23">
            <v>0</v>
          </cell>
        </row>
        <row r="24">
          <cell r="B24">
            <v>156911</v>
          </cell>
          <cell r="C24">
            <v>156911</v>
          </cell>
          <cell r="D24">
            <v>0</v>
          </cell>
          <cell r="E24">
            <v>0</v>
          </cell>
        </row>
        <row r="25">
          <cell r="B25">
            <v>993714</v>
          </cell>
          <cell r="C25">
            <v>993714</v>
          </cell>
          <cell r="D25">
            <v>0</v>
          </cell>
          <cell r="E25">
            <v>0</v>
          </cell>
        </row>
        <row r="26">
          <cell r="B26">
            <v>1268293</v>
          </cell>
          <cell r="C26">
            <v>1268293</v>
          </cell>
          <cell r="D26">
            <v>0</v>
          </cell>
          <cell r="E26">
            <v>0</v>
          </cell>
        </row>
        <row r="27">
          <cell r="B27">
            <v>22449969</v>
          </cell>
          <cell r="C27">
            <v>22449969</v>
          </cell>
          <cell r="D27">
            <v>0</v>
          </cell>
          <cell r="E27">
            <v>0</v>
          </cell>
        </row>
        <row r="28">
          <cell r="B28">
            <v>65152008</v>
          </cell>
          <cell r="C28">
            <v>65152008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52304</v>
          </cell>
          <cell r="C30">
            <v>52304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331238</v>
          </cell>
          <cell r="C32">
            <v>331238</v>
          </cell>
          <cell r="D32">
            <v>0</v>
          </cell>
          <cell r="E32">
            <v>0</v>
          </cell>
        </row>
        <row r="33">
          <cell r="B33">
            <v>52304</v>
          </cell>
          <cell r="C33">
            <v>52304</v>
          </cell>
          <cell r="D33">
            <v>0</v>
          </cell>
          <cell r="E33">
            <v>0</v>
          </cell>
        </row>
        <row r="34">
          <cell r="B34">
            <v>7997927</v>
          </cell>
          <cell r="C34">
            <v>7997927</v>
          </cell>
          <cell r="D34">
            <v>0</v>
          </cell>
          <cell r="E34">
            <v>0</v>
          </cell>
        </row>
        <row r="35">
          <cell r="B35">
            <v>1255284</v>
          </cell>
          <cell r="C35">
            <v>1255284</v>
          </cell>
          <cell r="D35">
            <v>0</v>
          </cell>
          <cell r="E35">
            <v>0</v>
          </cell>
        </row>
        <row r="36">
          <cell r="B36">
            <v>2894111</v>
          </cell>
          <cell r="C36">
            <v>2894111</v>
          </cell>
          <cell r="D36">
            <v>0</v>
          </cell>
          <cell r="E36">
            <v>0</v>
          </cell>
        </row>
        <row r="38">
          <cell r="B38">
            <v>1606</v>
          </cell>
          <cell r="C38">
            <v>1606</v>
          </cell>
          <cell r="D38">
            <v>0</v>
          </cell>
          <cell r="E38">
            <v>0</v>
          </cell>
        </row>
        <row r="39">
          <cell r="B39">
            <v>1176693</v>
          </cell>
          <cell r="C39">
            <v>1176693</v>
          </cell>
          <cell r="D39">
            <v>0</v>
          </cell>
          <cell r="E39">
            <v>0</v>
          </cell>
        </row>
        <row r="40">
          <cell r="B40">
            <v>31159609</v>
          </cell>
          <cell r="C40">
            <v>0</v>
          </cell>
          <cell r="D40">
            <v>0</v>
          </cell>
          <cell r="E40">
            <v>0</v>
          </cell>
        </row>
        <row r="42">
          <cell r="B42">
            <v>597218</v>
          </cell>
          <cell r="C42">
            <v>597218</v>
          </cell>
          <cell r="D42">
            <v>0</v>
          </cell>
          <cell r="E42">
            <v>0</v>
          </cell>
        </row>
        <row r="43">
          <cell r="B43">
            <v>61290</v>
          </cell>
          <cell r="C43">
            <v>61290</v>
          </cell>
          <cell r="D43">
            <v>0</v>
          </cell>
          <cell r="E43">
            <v>0</v>
          </cell>
        </row>
        <row r="45">
          <cell r="B45">
            <v>11022275</v>
          </cell>
          <cell r="C45">
            <v>11022275</v>
          </cell>
          <cell r="D45">
            <v>0</v>
          </cell>
          <cell r="E45">
            <v>0</v>
          </cell>
        </row>
        <row r="46">
          <cell r="B46">
            <v>6010335</v>
          </cell>
          <cell r="C46">
            <v>6010335</v>
          </cell>
          <cell r="D46">
            <v>0</v>
          </cell>
          <cell r="E46">
            <v>0</v>
          </cell>
        </row>
        <row r="47">
          <cell r="B47">
            <v>5979856</v>
          </cell>
          <cell r="C47">
            <v>5737256</v>
          </cell>
          <cell r="D47">
            <v>242600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56603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26270127</v>
          </cell>
          <cell r="C51">
            <v>26270127</v>
          </cell>
          <cell r="D51">
            <v>0</v>
          </cell>
          <cell r="E51">
            <v>0</v>
          </cell>
        </row>
        <row r="52">
          <cell r="B52">
            <v>113750001</v>
          </cell>
          <cell r="C52">
            <v>107201216</v>
          </cell>
          <cell r="D52">
            <v>6548785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5">
          <cell r="B55">
            <v>8098267</v>
          </cell>
          <cell r="C55">
            <v>0</v>
          </cell>
          <cell r="D55">
            <v>0</v>
          </cell>
          <cell r="E55">
            <v>0</v>
          </cell>
        </row>
      </sheetData>
      <sheetData sheetId="17">
        <row r="8">
          <cell r="B8">
            <v>4324254</v>
          </cell>
          <cell r="C8">
            <v>4284963</v>
          </cell>
          <cell r="D8">
            <v>39291</v>
          </cell>
          <cell r="E8">
            <v>0</v>
          </cell>
        </row>
        <row r="9">
          <cell r="B9">
            <v>2089187</v>
          </cell>
          <cell r="C9">
            <v>2089187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276304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3135548</v>
          </cell>
          <cell r="C12">
            <v>3135548</v>
          </cell>
          <cell r="D12">
            <v>0</v>
          </cell>
          <cell r="E12">
            <v>0</v>
          </cell>
        </row>
        <row r="13">
          <cell r="B13">
            <v>299989</v>
          </cell>
          <cell r="C13">
            <v>299989</v>
          </cell>
          <cell r="D13">
            <v>0</v>
          </cell>
          <cell r="E13">
            <v>0</v>
          </cell>
        </row>
        <row r="14">
          <cell r="B14">
            <v>8694777</v>
          </cell>
          <cell r="C14">
            <v>8045277</v>
          </cell>
          <cell r="D14">
            <v>649500</v>
          </cell>
          <cell r="E14">
            <v>0</v>
          </cell>
        </row>
        <row r="16">
          <cell r="B16">
            <v>931484</v>
          </cell>
          <cell r="C16">
            <v>931484</v>
          </cell>
          <cell r="D16">
            <v>0</v>
          </cell>
          <cell r="E16">
            <v>0</v>
          </cell>
        </row>
        <row r="17">
          <cell r="B17">
            <v>1882307</v>
          </cell>
          <cell r="C17">
            <v>1882307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1510603</v>
          </cell>
          <cell r="C19">
            <v>1510603</v>
          </cell>
          <cell r="D19">
            <v>0</v>
          </cell>
          <cell r="E19">
            <v>0</v>
          </cell>
        </row>
        <row r="20">
          <cell r="B20">
            <v>17199536</v>
          </cell>
          <cell r="C20">
            <v>17199536</v>
          </cell>
          <cell r="D20">
            <v>0</v>
          </cell>
          <cell r="E20">
            <v>0</v>
          </cell>
        </row>
        <row r="21">
          <cell r="B21">
            <v>25683945</v>
          </cell>
          <cell r="C21">
            <v>25665567</v>
          </cell>
          <cell r="D21">
            <v>18378</v>
          </cell>
          <cell r="E21">
            <v>0</v>
          </cell>
        </row>
        <row r="22">
          <cell r="B22">
            <v>1055470</v>
          </cell>
          <cell r="C22">
            <v>1055470</v>
          </cell>
          <cell r="D22">
            <v>0</v>
          </cell>
          <cell r="E22">
            <v>0</v>
          </cell>
        </row>
        <row r="23">
          <cell r="B23">
            <v>549125</v>
          </cell>
          <cell r="C23">
            <v>549125</v>
          </cell>
          <cell r="D23">
            <v>0</v>
          </cell>
          <cell r="E23">
            <v>0</v>
          </cell>
        </row>
        <row r="24">
          <cell r="B24">
            <v>84156</v>
          </cell>
          <cell r="C24">
            <v>84156</v>
          </cell>
          <cell r="D24">
            <v>0</v>
          </cell>
          <cell r="E24">
            <v>0</v>
          </cell>
        </row>
        <row r="25">
          <cell r="B25">
            <v>504940</v>
          </cell>
          <cell r="C25">
            <v>504940</v>
          </cell>
          <cell r="D25">
            <v>0</v>
          </cell>
          <cell r="E25">
            <v>0</v>
          </cell>
        </row>
        <row r="26">
          <cell r="B26">
            <v>306443</v>
          </cell>
          <cell r="C26">
            <v>306443</v>
          </cell>
          <cell r="D26">
            <v>0</v>
          </cell>
          <cell r="E26">
            <v>0</v>
          </cell>
        </row>
        <row r="27">
          <cell r="B27">
            <v>11592538</v>
          </cell>
          <cell r="C27">
            <v>11592538</v>
          </cell>
          <cell r="D27">
            <v>0</v>
          </cell>
          <cell r="E27">
            <v>0</v>
          </cell>
        </row>
        <row r="28">
          <cell r="B28">
            <v>33349034</v>
          </cell>
          <cell r="C28">
            <v>33349034</v>
          </cell>
          <cell r="D28">
            <v>0</v>
          </cell>
          <cell r="E28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28052</v>
          </cell>
          <cell r="C31">
            <v>28052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168314</v>
          </cell>
          <cell r="C33">
            <v>168314</v>
          </cell>
          <cell r="D33">
            <v>0</v>
          </cell>
          <cell r="E33">
            <v>0</v>
          </cell>
        </row>
        <row r="35">
          <cell r="B35">
            <v>7483</v>
          </cell>
          <cell r="C35">
            <v>7483</v>
          </cell>
          <cell r="D35">
            <v>0</v>
          </cell>
          <cell r="E35">
            <v>0</v>
          </cell>
        </row>
        <row r="36">
          <cell r="B36">
            <v>4428759</v>
          </cell>
          <cell r="C36">
            <v>4428759</v>
          </cell>
          <cell r="D36">
            <v>0</v>
          </cell>
          <cell r="E36">
            <v>0</v>
          </cell>
        </row>
        <row r="37">
          <cell r="B37">
            <v>673252</v>
          </cell>
          <cell r="C37">
            <v>673252</v>
          </cell>
          <cell r="D37">
            <v>0</v>
          </cell>
          <cell r="E37">
            <v>0</v>
          </cell>
        </row>
        <row r="38">
          <cell r="B38">
            <v>1542871</v>
          </cell>
          <cell r="C38">
            <v>1542871</v>
          </cell>
          <cell r="D38">
            <v>0</v>
          </cell>
          <cell r="E38">
            <v>0</v>
          </cell>
        </row>
        <row r="39">
          <cell r="B39">
            <v>473318</v>
          </cell>
          <cell r="C39">
            <v>473318</v>
          </cell>
          <cell r="D39">
            <v>0</v>
          </cell>
          <cell r="E39">
            <v>0</v>
          </cell>
        </row>
        <row r="40">
          <cell r="B40">
            <v>531587</v>
          </cell>
          <cell r="C40">
            <v>531587</v>
          </cell>
          <cell r="D40">
            <v>0</v>
          </cell>
          <cell r="E40">
            <v>0</v>
          </cell>
        </row>
        <row r="41">
          <cell r="B41">
            <v>23654002</v>
          </cell>
          <cell r="C41">
            <v>0</v>
          </cell>
          <cell r="D41">
            <v>0</v>
          </cell>
          <cell r="E41">
            <v>0</v>
          </cell>
        </row>
        <row r="43">
          <cell r="B43">
            <v>359154</v>
          </cell>
          <cell r="C43">
            <v>359154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6">
          <cell r="B46">
            <v>5510150</v>
          </cell>
          <cell r="C46">
            <v>5510150</v>
          </cell>
          <cell r="D46">
            <v>0</v>
          </cell>
          <cell r="E46">
            <v>0</v>
          </cell>
        </row>
        <row r="47">
          <cell r="B47">
            <v>3261080</v>
          </cell>
          <cell r="C47">
            <v>3261080</v>
          </cell>
          <cell r="D47">
            <v>0</v>
          </cell>
          <cell r="E47">
            <v>0</v>
          </cell>
        </row>
        <row r="48">
          <cell r="B48">
            <v>3136227</v>
          </cell>
          <cell r="C48">
            <v>3136227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1425396</v>
          </cell>
          <cell r="C51">
            <v>915933.64</v>
          </cell>
          <cell r="D51">
            <v>0</v>
          </cell>
          <cell r="E51">
            <v>0</v>
          </cell>
        </row>
        <row r="53">
          <cell r="B53">
            <v>13826548</v>
          </cell>
          <cell r="C53">
            <v>13826548</v>
          </cell>
          <cell r="D53">
            <v>0</v>
          </cell>
          <cell r="E53">
            <v>0</v>
          </cell>
        </row>
        <row r="54">
          <cell r="B54">
            <v>60001569</v>
          </cell>
          <cell r="C54">
            <v>56374459</v>
          </cell>
          <cell r="D54">
            <v>3627110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D56"/>
  <sheetViews>
    <sheetView zoomScale="75" zoomScaleNormal="75" zoomScaleSheetLayoutView="75" workbookViewId="0" topLeftCell="A31">
      <selection activeCell="A50" sqref="A50"/>
    </sheetView>
  </sheetViews>
  <sheetFormatPr defaultColWidth="8.796875" defaultRowHeight="15"/>
  <cols>
    <col min="1" max="1" width="43.19921875" style="211" customWidth="1"/>
    <col min="2" max="2" width="17.296875" style="211" customWidth="1"/>
    <col min="3" max="3" width="20.19921875" style="211" customWidth="1"/>
    <col min="4" max="4" width="7.09765625" style="211" customWidth="1"/>
    <col min="5" max="16384" width="8.8984375" style="211" customWidth="1"/>
  </cols>
  <sheetData>
    <row r="1" spans="1:3" ht="15.75" customHeight="1">
      <c r="A1" s="210"/>
      <c r="C1" s="4" t="s">
        <v>249</v>
      </c>
    </row>
    <row r="2" spans="1:3" ht="15.75" customHeight="1">
      <c r="A2" s="210"/>
      <c r="C2" s="4" t="s">
        <v>253</v>
      </c>
    </row>
    <row r="3" spans="1:4" ht="15.75" customHeight="1">
      <c r="A3" s="213"/>
      <c r="B3" s="214"/>
      <c r="C3" s="4" t="s">
        <v>247</v>
      </c>
      <c r="D3" s="215"/>
    </row>
    <row r="4" spans="1:4" ht="15.75" customHeight="1">
      <c r="A4" s="373" t="s">
        <v>253</v>
      </c>
      <c r="B4" s="374"/>
      <c r="C4" s="374"/>
      <c r="D4" s="215"/>
    </row>
    <row r="5" spans="1:4" ht="12" customHeight="1">
      <c r="A5" s="213"/>
      <c r="B5" s="314"/>
      <c r="C5" s="314"/>
      <c r="D5" s="215"/>
    </row>
    <row r="6" spans="1:4" ht="18.75" customHeight="1">
      <c r="A6" s="376" t="s">
        <v>125</v>
      </c>
      <c r="B6" s="376"/>
      <c r="C6" s="376"/>
      <c r="D6" s="216"/>
    </row>
    <row r="7" spans="1:4" ht="15.75">
      <c r="A7" s="378" t="s">
        <v>230</v>
      </c>
      <c r="B7" s="378"/>
      <c r="C7" s="378"/>
      <c r="D7" s="216"/>
    </row>
    <row r="8" spans="1:4" s="347" customFormat="1" ht="24" customHeight="1">
      <c r="A8" s="377" t="s">
        <v>238</v>
      </c>
      <c r="B8" s="377"/>
      <c r="C8" s="377"/>
      <c r="D8" s="346"/>
    </row>
    <row r="9" spans="1:4" ht="21.75" customHeight="1">
      <c r="A9" s="217"/>
      <c r="B9" s="218"/>
      <c r="C9" s="219"/>
      <c r="D9" s="216"/>
    </row>
    <row r="10" spans="1:4" ht="18" customHeight="1">
      <c r="A10" s="220" t="s">
        <v>126</v>
      </c>
      <c r="B10" s="221"/>
      <c r="C10" s="222"/>
      <c r="D10" s="216"/>
    </row>
    <row r="11" spans="1:4" ht="18" customHeight="1">
      <c r="A11" s="223" t="s">
        <v>127</v>
      </c>
      <c r="B11" s="216"/>
      <c r="C11" s="224"/>
      <c r="D11" s="225"/>
    </row>
    <row r="12" spans="1:4" ht="18" customHeight="1">
      <c r="A12" s="223" t="s">
        <v>128</v>
      </c>
      <c r="B12" s="216"/>
      <c r="C12" s="226">
        <v>2126050474.53</v>
      </c>
      <c r="D12" s="225"/>
    </row>
    <row r="13" spans="1:4" ht="18" customHeight="1">
      <c r="A13" s="223" t="s">
        <v>129</v>
      </c>
      <c r="B13" s="216"/>
      <c r="C13" s="226">
        <v>28278282.029999994</v>
      </c>
      <c r="D13" s="225"/>
    </row>
    <row r="14" spans="1:4" ht="18" customHeight="1">
      <c r="A14" s="223" t="s">
        <v>130</v>
      </c>
      <c r="B14" s="216"/>
      <c r="C14" s="226">
        <v>128279998.47</v>
      </c>
      <c r="D14" s="225"/>
    </row>
    <row r="15" spans="1:4" ht="18" customHeight="1">
      <c r="A15" s="223" t="s">
        <v>131</v>
      </c>
      <c r="B15" s="216"/>
      <c r="C15" s="226">
        <v>192148186</v>
      </c>
      <c r="D15" s="225"/>
    </row>
    <row r="16" spans="1:4" ht="35.25" customHeight="1">
      <c r="A16" s="364" t="s">
        <v>256</v>
      </c>
      <c r="B16" s="216"/>
      <c r="C16" s="226">
        <v>1198947</v>
      </c>
      <c r="D16" s="225"/>
    </row>
    <row r="17" spans="1:4" ht="18" customHeight="1">
      <c r="A17" s="223" t="s">
        <v>132</v>
      </c>
      <c r="B17" s="216"/>
      <c r="C17" s="245">
        <v>9851710.11</v>
      </c>
      <c r="D17" s="225"/>
    </row>
    <row r="18" spans="1:4" ht="21.75" customHeight="1">
      <c r="A18" s="227"/>
      <c r="B18" s="228"/>
      <c r="C18" s="343"/>
      <c r="D18" s="225"/>
    </row>
    <row r="19" spans="1:4" ht="18" customHeight="1">
      <c r="A19" s="229" t="s">
        <v>133</v>
      </c>
      <c r="B19" s="230"/>
      <c r="C19" s="356">
        <v>2485807598.14</v>
      </c>
      <c r="D19" s="225"/>
    </row>
    <row r="20" spans="1:4" ht="18.75" customHeight="1">
      <c r="A20" s="231"/>
      <c r="B20" s="232"/>
      <c r="C20" s="233"/>
      <c r="D20" s="225"/>
    </row>
    <row r="21" spans="1:4" ht="18" customHeight="1">
      <c r="A21" s="234" t="s">
        <v>134</v>
      </c>
      <c r="B21" s="235"/>
      <c r="C21" s="233"/>
      <c r="D21" s="225"/>
    </row>
    <row r="22" spans="1:4" ht="18" customHeight="1">
      <c r="A22" s="223" t="s">
        <v>135</v>
      </c>
      <c r="B22" s="236">
        <v>564948563</v>
      </c>
      <c r="C22" s="237"/>
      <c r="D22" s="225"/>
    </row>
    <row r="23" spans="1:4" ht="18" customHeight="1">
      <c r="A23" s="223" t="s">
        <v>136</v>
      </c>
      <c r="B23" s="238">
        <v>158534372</v>
      </c>
      <c r="C23" s="226"/>
      <c r="D23" s="225"/>
    </row>
    <row r="24" spans="1:4" ht="18" customHeight="1">
      <c r="A24" s="223" t="s">
        <v>137</v>
      </c>
      <c r="B24" s="238">
        <v>536163859</v>
      </c>
      <c r="C24" s="226"/>
      <c r="D24" s="225"/>
    </row>
    <row r="25" spans="1:4" ht="18.75" customHeight="1">
      <c r="A25" s="223" t="s">
        <v>138</v>
      </c>
      <c r="B25" s="238">
        <v>993524844</v>
      </c>
      <c r="C25" s="226"/>
      <c r="D25" s="225"/>
    </row>
    <row r="26" spans="1:4" ht="33" customHeight="1">
      <c r="A26" s="364" t="s">
        <v>257</v>
      </c>
      <c r="B26" s="238">
        <v>1198947</v>
      </c>
      <c r="C26" s="226"/>
      <c r="D26" s="225"/>
    </row>
    <row r="27" spans="1:4" ht="18.75" customHeight="1">
      <c r="A27" s="231" t="s">
        <v>139</v>
      </c>
      <c r="B27" s="239"/>
      <c r="C27" s="240"/>
      <c r="D27" s="225"/>
    </row>
    <row r="28" spans="1:4" ht="18" customHeight="1">
      <c r="A28" s="241" t="s">
        <v>140</v>
      </c>
      <c r="B28" s="242"/>
      <c r="C28" s="243">
        <v>2254370585</v>
      </c>
      <c r="D28" s="225"/>
    </row>
    <row r="29" spans="1:4" ht="12" customHeight="1">
      <c r="A29" s="244"/>
      <c r="C29" s="245"/>
      <c r="D29" s="225"/>
    </row>
    <row r="30" spans="1:4" ht="18" customHeight="1">
      <c r="A30" s="246" t="s">
        <v>231</v>
      </c>
      <c r="B30" s="247"/>
      <c r="C30" s="237"/>
      <c r="D30" s="225"/>
    </row>
    <row r="31" spans="1:4" ht="18" customHeight="1">
      <c r="A31" s="248" t="s">
        <v>232</v>
      </c>
      <c r="B31" s="247"/>
      <c r="C31" s="249">
        <v>72255676</v>
      </c>
      <c r="D31" s="225"/>
    </row>
    <row r="32" spans="1:4" ht="18" customHeight="1">
      <c r="A32" s="231" t="s">
        <v>233</v>
      </c>
      <c r="B32" s="247"/>
      <c r="C32" s="249">
        <v>3050550</v>
      </c>
      <c r="D32" s="225"/>
    </row>
    <row r="33" spans="1:4" ht="18" customHeight="1">
      <c r="A33" s="231" t="s">
        <v>246</v>
      </c>
      <c r="B33" s="225"/>
      <c r="C33" s="226">
        <v>2941754</v>
      </c>
      <c r="D33" s="225"/>
    </row>
    <row r="34" spans="1:4" ht="18" customHeight="1">
      <c r="A34" s="231" t="s">
        <v>141</v>
      </c>
      <c r="B34" s="225"/>
      <c r="C34" s="226">
        <v>909960</v>
      </c>
      <c r="D34" s="225"/>
    </row>
    <row r="35" spans="1:4" ht="18" customHeight="1">
      <c r="A35" s="231" t="s">
        <v>142</v>
      </c>
      <c r="B35" s="225"/>
      <c r="C35" s="226"/>
      <c r="D35" s="225"/>
    </row>
    <row r="36" spans="1:4" ht="18" customHeight="1">
      <c r="A36" s="248" t="s">
        <v>143</v>
      </c>
      <c r="B36" s="225"/>
      <c r="C36" s="226">
        <v>104750</v>
      </c>
      <c r="D36" s="225"/>
    </row>
    <row r="37" spans="1:4" ht="18" customHeight="1">
      <c r="A37" s="250" t="s">
        <v>144</v>
      </c>
      <c r="B37" s="225"/>
      <c r="C37" s="226">
        <v>128279998.47</v>
      </c>
      <c r="D37" s="225"/>
    </row>
    <row r="38" spans="1:4" ht="18" customHeight="1">
      <c r="A38" s="251" t="s">
        <v>145</v>
      </c>
      <c r="B38" s="225"/>
      <c r="C38" s="226"/>
      <c r="D38" s="225"/>
    </row>
    <row r="39" spans="1:4" ht="18" customHeight="1">
      <c r="A39" s="231" t="s">
        <v>146</v>
      </c>
      <c r="B39" s="225"/>
      <c r="C39" s="226">
        <v>-37557536.71764678</v>
      </c>
      <c r="D39" s="225"/>
    </row>
    <row r="40" spans="1:4" ht="11.25" customHeight="1">
      <c r="A40" s="231"/>
      <c r="B40" s="225"/>
      <c r="C40" s="252"/>
      <c r="D40" s="225"/>
    </row>
    <row r="41" spans="1:4" ht="18" customHeight="1">
      <c r="A41" s="302" t="s">
        <v>226</v>
      </c>
      <c r="B41" s="253"/>
      <c r="C41" s="254">
        <v>2424355736.752353</v>
      </c>
      <c r="D41" s="225"/>
    </row>
    <row r="42" spans="1:4" ht="18" customHeight="1">
      <c r="A42" s="255"/>
      <c r="B42" s="225"/>
      <c r="C42" s="256"/>
      <c r="D42" s="225"/>
    </row>
    <row r="43" spans="1:4" ht="18" customHeight="1">
      <c r="A43" s="231" t="s">
        <v>147</v>
      </c>
      <c r="C43" s="293">
        <v>33173579.367646676</v>
      </c>
      <c r="D43" s="225"/>
    </row>
    <row r="44" spans="1:4" ht="18" customHeight="1">
      <c r="A44" s="258" t="s">
        <v>148</v>
      </c>
      <c r="B44" s="259"/>
      <c r="C44" s="256"/>
      <c r="D44" s="225"/>
    </row>
    <row r="45" spans="1:4" ht="18" customHeight="1">
      <c r="A45" s="258"/>
      <c r="B45" s="259"/>
      <c r="C45" s="256"/>
      <c r="D45" s="225"/>
    </row>
    <row r="46" spans="1:4" ht="18" customHeight="1">
      <c r="A46" s="260">
        <v>2009</v>
      </c>
      <c r="B46" s="259">
        <v>10445987.59</v>
      </c>
      <c r="C46" s="256"/>
      <c r="D46" s="225"/>
    </row>
    <row r="47" spans="1:4" ht="18" customHeight="1">
      <c r="A47" s="260">
        <v>2010</v>
      </c>
      <c r="B47" s="259">
        <v>6754402</v>
      </c>
      <c r="C47" s="256"/>
      <c r="D47" s="225"/>
    </row>
    <row r="48" spans="1:4" ht="18" customHeight="1">
      <c r="A48" s="260">
        <v>2011</v>
      </c>
      <c r="B48" s="259">
        <v>1929829</v>
      </c>
      <c r="C48" s="256"/>
      <c r="D48" s="225"/>
    </row>
    <row r="49" spans="1:4" ht="18" customHeight="1">
      <c r="A49" s="365" t="s">
        <v>266</v>
      </c>
      <c r="B49" s="259">
        <v>9148063.43</v>
      </c>
      <c r="C49" s="256"/>
      <c r="D49" s="225"/>
    </row>
    <row r="50" spans="1:4" ht="18" customHeight="1">
      <c r="A50" s="260"/>
      <c r="B50" s="257"/>
      <c r="C50" s="256">
        <v>28278282.02</v>
      </c>
      <c r="D50" s="225"/>
    </row>
    <row r="51" spans="1:4" ht="12" customHeight="1" thickBot="1">
      <c r="A51" s="261"/>
      <c r="B51" s="225"/>
      <c r="C51" s="245"/>
      <c r="D51" s="225"/>
    </row>
    <row r="52" spans="1:4" ht="19.5" customHeight="1" thickBot="1">
      <c r="A52" s="262" t="s">
        <v>149</v>
      </c>
      <c r="B52" s="263"/>
      <c r="C52" s="264">
        <v>61451861.387646675</v>
      </c>
      <c r="D52" s="225"/>
    </row>
    <row r="53" spans="1:4" ht="15">
      <c r="A53" s="299" t="s">
        <v>150</v>
      </c>
      <c r="B53" s="299"/>
      <c r="C53" s="299"/>
      <c r="D53" s="291"/>
    </row>
    <row r="54" spans="1:4" ht="15">
      <c r="A54" s="298" t="s">
        <v>151</v>
      </c>
      <c r="B54" s="298"/>
      <c r="C54" s="298"/>
      <c r="D54" s="292"/>
    </row>
    <row r="55" spans="1:4" ht="15">
      <c r="A55" s="375" t="s">
        <v>152</v>
      </c>
      <c r="B55" s="375"/>
      <c r="C55" s="375"/>
      <c r="D55" s="292"/>
    </row>
    <row r="56" ht="15">
      <c r="A56" s="292" t="s">
        <v>153</v>
      </c>
    </row>
  </sheetData>
  <mergeCells count="5">
    <mergeCell ref="A4:C4"/>
    <mergeCell ref="A55:C55"/>
    <mergeCell ref="A6:C6"/>
    <mergeCell ref="A8:C8"/>
    <mergeCell ref="A7:C7"/>
  </mergeCells>
  <printOptions horizontalCentered="1" verticalCentered="1"/>
  <pageMargins left="0.49" right="0.36" top="0.196850393700787" bottom="0.31496062992126" header="0" footer="0"/>
  <pageSetup fitToHeight="1" fitToWidth="1" horizontalDpi="600" verticalDpi="600" orientation="portrait" scale="7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8"/>
  <sheetViews>
    <sheetView workbookViewId="0" topLeftCell="A36">
      <selection activeCell="A7" sqref="A7:F7"/>
    </sheetView>
  </sheetViews>
  <sheetFormatPr defaultColWidth="8.796875" defaultRowHeight="15"/>
  <cols>
    <col min="1" max="1" width="18.69921875" style="153" customWidth="1"/>
    <col min="2" max="6" width="12.796875" style="153" customWidth="1"/>
    <col min="7" max="7" width="2.796875" style="153" customWidth="1"/>
    <col min="8" max="16384" width="8.8984375" style="153" customWidth="1"/>
  </cols>
  <sheetData>
    <row r="1" spans="2:6" ht="12.75">
      <c r="B1" s="174"/>
      <c r="F1" s="175" t="str">
        <f>status!$C$1</f>
        <v>UNEP/OzL.Pro/ExCom/57/L.1</v>
      </c>
    </row>
    <row r="2" spans="2:6" ht="12.75">
      <c r="B2" s="176"/>
      <c r="F2" s="175" t="s">
        <v>124</v>
      </c>
    </row>
    <row r="3" spans="2:6" ht="12.75">
      <c r="B3" s="176"/>
      <c r="F3" s="175"/>
    </row>
    <row r="4" spans="1:6" ht="12.75">
      <c r="A4" s="177" t="s">
        <v>1</v>
      </c>
      <c r="B4" s="177"/>
      <c r="C4" s="177"/>
      <c r="D4" s="177"/>
      <c r="E4" s="177"/>
      <c r="F4" s="177"/>
    </row>
    <row r="5" spans="1:6" ht="12.75">
      <c r="A5" s="178" t="s">
        <v>113</v>
      </c>
      <c r="B5" s="177"/>
      <c r="C5" s="179"/>
      <c r="D5" s="179"/>
      <c r="E5" s="177"/>
      <c r="F5" s="177"/>
    </row>
    <row r="6" spans="1:7" ht="13.5" thickBot="1">
      <c r="A6" s="180" t="str">
        <f>status!$A$8</f>
        <v>Al 27 de marzo de 2009</v>
      </c>
      <c r="B6" s="179"/>
      <c r="C6" s="179"/>
      <c r="D6" s="179"/>
      <c r="E6" s="179"/>
      <c r="F6" s="179"/>
      <c r="G6" s="181"/>
    </row>
    <row r="7" spans="1:7" ht="26.25" thickBot="1">
      <c r="A7" s="182" t="s">
        <v>9</v>
      </c>
      <c r="B7" s="183" t="s">
        <v>60</v>
      </c>
      <c r="C7" s="183" t="s">
        <v>3</v>
      </c>
      <c r="D7" s="183" t="s">
        <v>4</v>
      </c>
      <c r="E7" s="183" t="s">
        <v>5</v>
      </c>
      <c r="F7" s="184" t="s">
        <v>61</v>
      </c>
      <c r="G7" s="185"/>
    </row>
    <row r="8" spans="1:9" ht="13.5" customHeight="1">
      <c r="A8" s="149" t="s">
        <v>10</v>
      </c>
      <c r="B8" s="150">
        <v>3150805.58</v>
      </c>
      <c r="C8" s="151">
        <f>3058937+91869</f>
        <v>3150806</v>
      </c>
      <c r="D8" s="151"/>
      <c r="E8" s="151"/>
      <c r="F8" s="186">
        <f aca="true" t="shared" si="0" ref="F8:F49">B8-C8-D8-E8</f>
        <v>-0.4199999999254942</v>
      </c>
      <c r="G8" s="152"/>
      <c r="I8" s="187"/>
    </row>
    <row r="9" spans="1:9" ht="13.5" customHeight="1">
      <c r="A9" s="154" t="s">
        <v>11</v>
      </c>
      <c r="B9" s="155">
        <v>1832846.66</v>
      </c>
      <c r="C9" s="156">
        <v>1832846.66</v>
      </c>
      <c r="D9" s="156"/>
      <c r="E9" s="156"/>
      <c r="F9" s="186">
        <f t="shared" si="0"/>
        <v>0</v>
      </c>
      <c r="G9" s="152"/>
      <c r="I9" s="187"/>
    </row>
    <row r="10" spans="1:7" ht="13.5" customHeight="1">
      <c r="A10" s="157" t="s">
        <v>12</v>
      </c>
      <c r="B10" s="155">
        <v>7684.89164893386</v>
      </c>
      <c r="C10" s="156">
        <v>0</v>
      </c>
      <c r="D10" s="156"/>
      <c r="E10" s="156"/>
      <c r="F10" s="186">
        <f t="shared" si="0"/>
        <v>7684.89164893386</v>
      </c>
      <c r="G10" s="152"/>
    </row>
    <row r="11" spans="1:7" ht="13.5" customHeight="1">
      <c r="A11" s="154" t="s">
        <v>13</v>
      </c>
      <c r="B11" s="155">
        <v>36503.24</v>
      </c>
      <c r="C11" s="156">
        <v>0</v>
      </c>
      <c r="D11" s="156"/>
      <c r="E11" s="156"/>
      <c r="F11" s="186">
        <f t="shared" si="0"/>
        <v>36503.24</v>
      </c>
      <c r="G11" s="152"/>
    </row>
    <row r="12" spans="1:7" ht="13.5" customHeight="1">
      <c r="A12" s="154" t="s">
        <v>14</v>
      </c>
      <c r="B12" s="155">
        <v>2186351.67</v>
      </c>
      <c r="C12" s="156">
        <v>2186351.67</v>
      </c>
      <c r="D12" s="156"/>
      <c r="E12" s="156"/>
      <c r="F12" s="186">
        <f t="shared" si="0"/>
        <v>0</v>
      </c>
      <c r="G12" s="152"/>
    </row>
    <row r="13" spans="1:7" ht="13.5" customHeight="1">
      <c r="A13" s="154" t="s">
        <v>48</v>
      </c>
      <c r="B13" s="155">
        <v>24975.9</v>
      </c>
      <c r="C13" s="156">
        <v>24975.9</v>
      </c>
      <c r="D13" s="156"/>
      <c r="E13" s="156"/>
      <c r="F13" s="186">
        <f t="shared" si="0"/>
        <v>0</v>
      </c>
      <c r="G13" s="152"/>
    </row>
    <row r="14" spans="1:9" ht="13.5" customHeight="1">
      <c r="A14" s="154" t="s">
        <v>15</v>
      </c>
      <c r="B14" s="155">
        <v>4954833.89</v>
      </c>
      <c r="C14" s="156">
        <f>499078-61354+3963867+265918</f>
        <v>4667509</v>
      </c>
      <c r="D14" s="156">
        <f>214700+468125-395500</f>
        <v>287325</v>
      </c>
      <c r="E14" s="156">
        <f>3963867-3963867</f>
        <v>0</v>
      </c>
      <c r="F14" s="186">
        <f t="shared" si="0"/>
        <v>-0.11000000033527613</v>
      </c>
      <c r="G14" s="152"/>
      <c r="I14" s="153">
        <f>F14-3794916</f>
        <v>-3794916.1100000003</v>
      </c>
    </row>
    <row r="15" spans="1:7" ht="13.5" customHeight="1">
      <c r="A15" s="154" t="s">
        <v>16</v>
      </c>
      <c r="B15" s="155">
        <v>330450.34</v>
      </c>
      <c r="C15" s="156">
        <f>330450+330450-330450</f>
        <v>330450</v>
      </c>
      <c r="D15" s="156"/>
      <c r="E15" s="156"/>
      <c r="F15" s="186">
        <f t="shared" si="0"/>
        <v>0.34000000002561137</v>
      </c>
      <c r="G15" s="152"/>
    </row>
    <row r="16" spans="1:7" ht="13.5" customHeight="1">
      <c r="A16" s="154" t="s">
        <v>17</v>
      </c>
      <c r="B16" s="155">
        <v>1450523.3</v>
      </c>
      <c r="C16" s="155">
        <v>1450523.3</v>
      </c>
      <c r="D16" s="156"/>
      <c r="E16" s="156"/>
      <c r="F16" s="186">
        <f t="shared" si="0"/>
        <v>0</v>
      </c>
      <c r="G16" s="152"/>
    </row>
    <row r="17" spans="1:7" ht="13.5" customHeight="1">
      <c r="A17" s="154" t="s">
        <v>62</v>
      </c>
      <c r="B17" s="155">
        <v>19212.23</v>
      </c>
      <c r="C17" s="156">
        <v>19212</v>
      </c>
      <c r="D17" s="156"/>
      <c r="E17" s="156"/>
      <c r="F17" s="186">
        <f t="shared" si="0"/>
        <v>0.22999999999956344</v>
      </c>
      <c r="G17" s="152"/>
    </row>
    <row r="18" spans="1:7" ht="13.5" customHeight="1">
      <c r="A18" s="154" t="s">
        <v>18</v>
      </c>
      <c r="B18" s="155">
        <v>1010563.25</v>
      </c>
      <c r="C18" s="156">
        <v>1010563</v>
      </c>
      <c r="D18" s="156"/>
      <c r="E18" s="156"/>
      <c r="F18" s="186">
        <f t="shared" si="0"/>
        <v>0.25</v>
      </c>
      <c r="G18" s="152"/>
    </row>
    <row r="19" spans="1:7" ht="13.5" customHeight="1">
      <c r="A19" s="154" t="s">
        <v>99</v>
      </c>
      <c r="B19" s="155">
        <v>12518688.5</v>
      </c>
      <c r="C19" s="156">
        <v>10216005.5</v>
      </c>
      <c r="D19" s="156">
        <f>991683+1085000+226000</f>
        <v>2302683</v>
      </c>
      <c r="E19" s="156">
        <v>0</v>
      </c>
      <c r="F19" s="186">
        <f t="shared" si="0"/>
        <v>0</v>
      </c>
      <c r="G19" s="152"/>
    </row>
    <row r="20" spans="1:7" ht="13.5" customHeight="1">
      <c r="A20" s="154" t="s">
        <v>20</v>
      </c>
      <c r="B20" s="155">
        <v>18914439.57</v>
      </c>
      <c r="C20" s="156">
        <f>6304813.19+6304813.19+3152406.6+3152406.59</f>
        <v>18914439.57</v>
      </c>
      <c r="D20" s="156">
        <f>1901368+1866181+33984-18645</f>
        <v>3782888</v>
      </c>
      <c r="E20" s="156">
        <f>18914439.57-6304813.19-6304813.19-3152406.6-3152406.59</f>
        <v>0</v>
      </c>
      <c r="F20" s="186">
        <f t="shared" si="0"/>
        <v>-3782888</v>
      </c>
      <c r="G20" s="152"/>
    </row>
    <row r="21" spans="1:7" ht="13.5" customHeight="1">
      <c r="A21" s="154" t="s">
        <v>21</v>
      </c>
      <c r="B21" s="155">
        <v>1043224.04</v>
      </c>
      <c r="C21" s="156">
        <v>1172560.25</v>
      </c>
      <c r="D21" s="156"/>
      <c r="E21" s="156"/>
      <c r="F21" s="186">
        <f t="shared" si="0"/>
        <v>-129336.20999999996</v>
      </c>
      <c r="G21" s="152"/>
    </row>
    <row r="22" spans="1:7" ht="13.5" customHeight="1">
      <c r="A22" s="154" t="s">
        <v>22</v>
      </c>
      <c r="B22" s="155">
        <v>232467.97</v>
      </c>
      <c r="C22" s="155">
        <v>232467.97</v>
      </c>
      <c r="D22" s="156"/>
      <c r="E22" s="156"/>
      <c r="F22" s="186">
        <f t="shared" si="0"/>
        <v>0</v>
      </c>
      <c r="G22" s="152"/>
    </row>
    <row r="23" spans="1:7" ht="13.5" customHeight="1">
      <c r="A23" s="154" t="s">
        <v>23</v>
      </c>
      <c r="B23" s="155">
        <v>63400.36</v>
      </c>
      <c r="C23" s="155">
        <v>63400.36</v>
      </c>
      <c r="D23" s="156"/>
      <c r="E23" s="156"/>
      <c r="F23" s="186">
        <f t="shared" si="0"/>
        <v>0</v>
      </c>
      <c r="G23" s="152"/>
    </row>
    <row r="24" spans="1:7" ht="13.5" customHeight="1">
      <c r="A24" s="154" t="s">
        <v>93</v>
      </c>
      <c r="B24" s="155">
        <v>570603.2</v>
      </c>
      <c r="C24" s="156">
        <v>570603.2</v>
      </c>
      <c r="D24" s="156"/>
      <c r="E24" s="156"/>
      <c r="F24" s="186">
        <f t="shared" si="0"/>
        <v>0</v>
      </c>
      <c r="G24" s="152"/>
    </row>
    <row r="25" spans="1:7" ht="13.5" customHeight="1">
      <c r="A25" s="154" t="s">
        <v>25</v>
      </c>
      <c r="B25" s="155">
        <v>803071.18</v>
      </c>
      <c r="C25" s="156"/>
      <c r="D25" s="156"/>
      <c r="E25" s="156"/>
      <c r="F25" s="186">
        <f t="shared" si="0"/>
        <v>803071.18</v>
      </c>
      <c r="G25" s="152"/>
    </row>
    <row r="26" spans="1:7" ht="13.5" customHeight="1">
      <c r="A26" s="154" t="s">
        <v>108</v>
      </c>
      <c r="B26" s="155">
        <v>9805921.74</v>
      </c>
      <c r="C26" s="156">
        <v>7844737</v>
      </c>
      <c r="D26" s="156">
        <v>1961184.74</v>
      </c>
      <c r="E26" s="156"/>
      <c r="F26" s="186">
        <f t="shared" si="0"/>
        <v>2.3283064365386963E-10</v>
      </c>
      <c r="G26" s="152"/>
    </row>
    <row r="27" spans="1:7" ht="13.5" customHeight="1">
      <c r="A27" s="154" t="s">
        <v>107</v>
      </c>
      <c r="B27" s="155">
        <v>34760000</v>
      </c>
      <c r="C27" s="156">
        <f>5584730-2780000+29175270-751902-1130000</f>
        <v>30098098</v>
      </c>
      <c r="D27" s="156">
        <f>2780000+751902+1130000</f>
        <v>4661902</v>
      </c>
      <c r="E27" s="156"/>
      <c r="F27" s="186">
        <f t="shared" si="0"/>
        <v>0</v>
      </c>
      <c r="G27" s="152"/>
    </row>
    <row r="28" spans="1:7" ht="13.5" customHeight="1">
      <c r="A28" s="154" t="s">
        <v>52</v>
      </c>
      <c r="B28" s="155">
        <v>19212.23</v>
      </c>
      <c r="C28" s="156">
        <v>19212</v>
      </c>
      <c r="D28" s="156"/>
      <c r="E28" s="156"/>
      <c r="F28" s="186">
        <f t="shared" si="0"/>
        <v>0.22999999999956344</v>
      </c>
      <c r="G28" s="152"/>
    </row>
    <row r="29" spans="1:7" ht="13.5" customHeight="1">
      <c r="A29" s="154" t="s">
        <v>27</v>
      </c>
      <c r="B29" s="155">
        <v>11527.34</v>
      </c>
      <c r="C29" s="155">
        <v>11527.34</v>
      </c>
      <c r="D29" s="156"/>
      <c r="E29" s="156"/>
      <c r="F29" s="186">
        <f t="shared" si="0"/>
        <v>0</v>
      </c>
      <c r="G29" s="152"/>
    </row>
    <row r="30" spans="1:7" ht="13.5" customHeight="1">
      <c r="A30" s="154" t="s">
        <v>28</v>
      </c>
      <c r="B30" s="155">
        <v>32660.79</v>
      </c>
      <c r="C30" s="156">
        <v>0</v>
      </c>
      <c r="D30" s="156"/>
      <c r="E30" s="156"/>
      <c r="F30" s="186">
        <f t="shared" si="0"/>
        <v>32660.79</v>
      </c>
      <c r="G30" s="152"/>
    </row>
    <row r="31" spans="1:7" ht="13.5" customHeight="1">
      <c r="A31" s="154" t="s">
        <v>29</v>
      </c>
      <c r="B31" s="155">
        <v>153697.83</v>
      </c>
      <c r="C31" s="155">
        <v>153697.83</v>
      </c>
      <c r="D31" s="156"/>
      <c r="E31" s="156"/>
      <c r="F31" s="186">
        <f t="shared" si="0"/>
        <v>0</v>
      </c>
      <c r="G31" s="152"/>
    </row>
    <row r="32" spans="1:7" ht="13.5" customHeight="1">
      <c r="A32" s="154" t="s">
        <v>30</v>
      </c>
      <c r="B32" s="155">
        <v>7684.89</v>
      </c>
      <c r="C32" s="155">
        <v>7684.89</v>
      </c>
      <c r="D32" s="156"/>
      <c r="E32" s="156"/>
      <c r="F32" s="186">
        <f t="shared" si="0"/>
        <v>0</v>
      </c>
      <c r="G32" s="152"/>
    </row>
    <row r="33" spans="1:7" ht="13.5" customHeight="1">
      <c r="A33" s="154" t="s">
        <v>31</v>
      </c>
      <c r="B33" s="155">
        <v>3364061.32</v>
      </c>
      <c r="C33" s="156">
        <v>3364061.32</v>
      </c>
      <c r="D33" s="156"/>
      <c r="E33" s="156">
        <f>6728122.64-3364061.32-3364061.32</f>
        <v>0</v>
      </c>
      <c r="F33" s="186">
        <f t="shared" si="0"/>
        <v>0</v>
      </c>
      <c r="G33" s="152"/>
    </row>
    <row r="34" spans="1:7" ht="13.5" customHeight="1">
      <c r="A34" s="154" t="s">
        <v>32</v>
      </c>
      <c r="B34" s="155">
        <v>466857.17</v>
      </c>
      <c r="C34" s="155">
        <v>466857.17</v>
      </c>
      <c r="D34" s="156"/>
      <c r="E34" s="156"/>
      <c r="F34" s="186">
        <f t="shared" si="0"/>
        <v>0</v>
      </c>
      <c r="G34" s="152"/>
    </row>
    <row r="35" spans="1:7" ht="13.5" customHeight="1">
      <c r="A35" s="154" t="s">
        <v>33</v>
      </c>
      <c r="B35" s="155">
        <v>1252637.34</v>
      </c>
      <c r="C35" s="156">
        <v>1252637</v>
      </c>
      <c r="D35" s="156"/>
      <c r="E35" s="156"/>
      <c r="F35" s="186">
        <f t="shared" si="0"/>
        <v>0.34000000008381903</v>
      </c>
      <c r="G35" s="152"/>
    </row>
    <row r="36" spans="1:7" ht="13.5" customHeight="1">
      <c r="A36" s="154" t="s">
        <v>34</v>
      </c>
      <c r="B36" s="155">
        <v>612870.11</v>
      </c>
      <c r="C36" s="156">
        <v>612870</v>
      </c>
      <c r="D36" s="156"/>
      <c r="E36" s="156"/>
      <c r="F36" s="186">
        <f t="shared" si="0"/>
        <v>0.10999999998603016</v>
      </c>
      <c r="G36" s="152"/>
    </row>
    <row r="37" spans="1:7" ht="13.5" customHeight="1">
      <c r="A37" s="154" t="s">
        <v>35</v>
      </c>
      <c r="B37" s="155">
        <v>895289.88</v>
      </c>
      <c r="C37" s="156">
        <v>895289.88</v>
      </c>
      <c r="D37" s="156"/>
      <c r="E37" s="156"/>
      <c r="F37" s="186">
        <f t="shared" si="0"/>
        <v>0</v>
      </c>
      <c r="G37" s="152"/>
    </row>
    <row r="38" spans="1:7" ht="13.5" customHeight="1">
      <c r="A38" s="154" t="s">
        <v>36</v>
      </c>
      <c r="B38" s="155">
        <v>2305467.49</v>
      </c>
      <c r="C38" s="156">
        <v>0</v>
      </c>
      <c r="D38" s="156"/>
      <c r="E38" s="156"/>
      <c r="F38" s="186">
        <f t="shared" si="0"/>
        <v>2305467.49</v>
      </c>
      <c r="G38" s="152"/>
    </row>
    <row r="39" spans="1:7" ht="13.5" customHeight="1">
      <c r="A39" s="158" t="s">
        <v>96</v>
      </c>
      <c r="B39" s="155">
        <v>82612.59</v>
      </c>
      <c r="C39" s="155">
        <v>82612.59</v>
      </c>
      <c r="D39" s="156"/>
      <c r="E39" s="156"/>
      <c r="F39" s="186">
        <f t="shared" si="0"/>
        <v>0</v>
      </c>
      <c r="G39" s="152"/>
    </row>
    <row r="40" spans="1:7" ht="13.5" customHeight="1">
      <c r="A40" s="154" t="s">
        <v>56</v>
      </c>
      <c r="B40" s="155">
        <v>155619.06</v>
      </c>
      <c r="C40" s="156">
        <v>155619</v>
      </c>
      <c r="D40" s="156"/>
      <c r="E40" s="156"/>
      <c r="F40" s="186">
        <f t="shared" si="0"/>
        <v>0.059999999997671694</v>
      </c>
      <c r="G40" s="152"/>
    </row>
    <row r="41" spans="1:7" ht="13.5" customHeight="1">
      <c r="A41" s="154" t="s">
        <v>38</v>
      </c>
      <c r="B41" s="155">
        <v>4877984.97</v>
      </c>
      <c r="C41" s="156">
        <f>3902388+975597-795841</f>
        <v>4082144</v>
      </c>
      <c r="D41" s="156">
        <v>795841</v>
      </c>
      <c r="E41" s="156"/>
      <c r="F41" s="186">
        <f t="shared" si="0"/>
        <v>-0.03000000026077032</v>
      </c>
      <c r="G41" s="152"/>
    </row>
    <row r="42" spans="1:7" ht="13.5" customHeight="1">
      <c r="A42" s="154" t="s">
        <v>91</v>
      </c>
      <c r="B42" s="155">
        <v>1988466</v>
      </c>
      <c r="C42" s="156">
        <v>1590767.76</v>
      </c>
      <c r="D42" s="156">
        <f>26553+234362+42000</f>
        <v>302915</v>
      </c>
      <c r="E42" s="156"/>
      <c r="F42" s="186">
        <f t="shared" si="0"/>
        <v>94783.23999999999</v>
      </c>
      <c r="G42" s="152"/>
    </row>
    <row r="43" spans="1:7" ht="13.5" customHeight="1">
      <c r="A43" s="154" t="s">
        <v>40</v>
      </c>
      <c r="B43" s="155">
        <v>2447637.99</v>
      </c>
      <c r="C43" s="156">
        <f>364691.18+1718255.63-18888.12-305349</f>
        <v>1758709.6899999997</v>
      </c>
      <c r="D43" s="156">
        <f>398913+290015</f>
        <v>688928</v>
      </c>
      <c r="E43" s="156"/>
      <c r="F43" s="186">
        <f t="shared" si="0"/>
        <v>0.3000000005122274</v>
      </c>
      <c r="G43" s="152"/>
    </row>
    <row r="44" spans="1:7" ht="13.5" customHeight="1">
      <c r="A44" s="154" t="s">
        <v>41</v>
      </c>
      <c r="B44" s="155">
        <v>1921.22</v>
      </c>
      <c r="C44" s="156">
        <v>0</v>
      </c>
      <c r="D44" s="156"/>
      <c r="E44" s="156"/>
      <c r="F44" s="186">
        <f t="shared" si="0"/>
        <v>1921.22</v>
      </c>
      <c r="G44" s="152"/>
    </row>
    <row r="45" spans="1:7" ht="13.5" customHeight="1">
      <c r="A45" s="154" t="s">
        <v>42</v>
      </c>
      <c r="B45" s="155">
        <v>5763.67</v>
      </c>
      <c r="C45" s="155">
        <f>5763.67</f>
        <v>5763.67</v>
      </c>
      <c r="D45" s="156"/>
      <c r="E45" s="156"/>
      <c r="F45" s="186">
        <f t="shared" si="0"/>
        <v>0</v>
      </c>
      <c r="G45" s="152"/>
    </row>
    <row r="46" spans="1:7" ht="13.5" customHeight="1">
      <c r="A46" s="154" t="s">
        <v>43</v>
      </c>
      <c r="B46" s="155">
        <v>101824.81</v>
      </c>
      <c r="C46" s="156">
        <v>0</v>
      </c>
      <c r="D46" s="156"/>
      <c r="E46" s="156"/>
      <c r="F46" s="186">
        <f t="shared" si="0"/>
        <v>101824.81</v>
      </c>
      <c r="G46" s="152"/>
    </row>
    <row r="47" spans="1:7" ht="13.5" customHeight="1">
      <c r="A47" s="154" t="s">
        <v>44</v>
      </c>
      <c r="B47" s="155">
        <v>10718502.63</v>
      </c>
      <c r="C47" s="155">
        <v>10718502.63</v>
      </c>
      <c r="D47" s="156"/>
      <c r="E47" s="155">
        <f>10718502.63-1786417.11-5359251.32-3572834.2</f>
        <v>0</v>
      </c>
      <c r="F47" s="186">
        <f t="shared" si="0"/>
        <v>0</v>
      </c>
      <c r="G47" s="152"/>
    </row>
    <row r="48" spans="1:7" ht="13.5" customHeight="1">
      <c r="A48" s="154" t="s">
        <v>45</v>
      </c>
      <c r="B48" s="155">
        <v>34760000</v>
      </c>
      <c r="C48" s="156">
        <f>1877367+18000000+2000000+1070895+357038+2000000+2000000+2079700</f>
        <v>29385000</v>
      </c>
      <c r="D48" s="156">
        <f>5375000</f>
        <v>5375000</v>
      </c>
      <c r="E48" s="156">
        <f>4920000-2000000+3159700-2000000-2000000-2079700</f>
        <v>0</v>
      </c>
      <c r="F48" s="186">
        <f t="shared" si="0"/>
        <v>0</v>
      </c>
      <c r="G48" s="152"/>
    </row>
    <row r="49" spans="1:7" ht="13.5" customHeight="1" thickBot="1">
      <c r="A49" s="159" t="s">
        <v>46</v>
      </c>
      <c r="B49" s="155">
        <v>21133.45</v>
      </c>
      <c r="C49" s="160">
        <v>0</v>
      </c>
      <c r="D49" s="161"/>
      <c r="E49" s="162"/>
      <c r="F49" s="186">
        <f t="shared" si="0"/>
        <v>21133.45</v>
      </c>
      <c r="G49" s="152"/>
    </row>
    <row r="50" spans="1:7" ht="13.5" customHeight="1" thickBot="1">
      <c r="A50" s="163" t="s">
        <v>2</v>
      </c>
      <c r="B50" s="164">
        <f>SUM(B8:B49)</f>
        <v>158000000.29164892</v>
      </c>
      <c r="C50" s="165">
        <f>SUM(C8:C49)</f>
        <v>138348506.14999998</v>
      </c>
      <c r="D50" s="166">
        <f>SUM(D8:D49)</f>
        <v>20158666.740000002</v>
      </c>
      <c r="E50" s="167">
        <f>SUM(E8:E49)</f>
        <v>0</v>
      </c>
      <c r="F50" s="167">
        <f>SUM(F8:F49)</f>
        <v>-507172.598351065</v>
      </c>
      <c r="G50" s="152"/>
    </row>
    <row r="51" spans="1:7" ht="13.5" customHeight="1">
      <c r="A51" s="307" t="s">
        <v>109</v>
      </c>
      <c r="B51" s="308"/>
      <c r="C51" s="308"/>
      <c r="D51" s="308"/>
      <c r="E51" s="169"/>
      <c r="F51" s="169"/>
      <c r="G51" s="152"/>
    </row>
    <row r="52" spans="1:7" ht="13.5" customHeight="1">
      <c r="A52" s="168"/>
      <c r="B52" s="169"/>
      <c r="C52" s="169"/>
      <c r="D52" s="169"/>
      <c r="E52" s="169"/>
      <c r="F52" s="169"/>
      <c r="G52" s="152"/>
    </row>
    <row r="53" spans="1:7" ht="13.5" customHeight="1">
      <c r="A53" s="168"/>
      <c r="B53" s="169"/>
      <c r="C53" s="169"/>
      <c r="D53" s="169"/>
      <c r="E53" s="169"/>
      <c r="F53" s="169"/>
      <c r="G53" s="152"/>
    </row>
    <row r="54" ht="13.5" customHeight="1"/>
    <row r="55" spans="1:7" ht="13.5" customHeight="1" thickBot="1">
      <c r="A55" s="169"/>
      <c r="B55" s="169"/>
      <c r="C55" s="169"/>
      <c r="D55" s="169"/>
      <c r="E55" s="169"/>
      <c r="F55" s="169"/>
      <c r="G55" s="152"/>
    </row>
    <row r="56" spans="1:7" ht="13.5" customHeight="1" thickBot="1">
      <c r="A56" s="170" t="s">
        <v>67</v>
      </c>
      <c r="B56" s="171">
        <f>B10+B11+B13+B15+B17+B22+B28+B30+B36+B38+B39+B40+B44+B45+B46+B49</f>
        <v>3990379.9916489343</v>
      </c>
      <c r="C56" s="171">
        <f>C10+C11+C13+C15+C17+C22+C28+C30+C36+C38+C39+C40+C44+C45+C46+C49</f>
        <v>1483183.1300000001</v>
      </c>
      <c r="D56" s="171">
        <f>D10+D11+D13+D15+D17+D22+D28+D30+D36+D38+D39+D40+D44+D45+D46+D49</f>
        <v>0</v>
      </c>
      <c r="E56" s="171">
        <f>E10+E11+E13+E15+E17+E22+E28+E30+E36+E38+E39+E40+E44+E45+E46+E49</f>
        <v>0</v>
      </c>
      <c r="F56" s="172">
        <f>B56-C56-D56-E56</f>
        <v>2507196.861648934</v>
      </c>
      <c r="G56" s="152"/>
    </row>
    <row r="57" ht="13.5" customHeight="1">
      <c r="G57" s="152"/>
    </row>
    <row r="58" ht="12.75">
      <c r="A58" s="173"/>
    </row>
  </sheetData>
  <printOptions/>
  <pageMargins left="0.75" right="0.75" top="0.48" bottom="0.59" header="0.35" footer="0.5"/>
  <pageSetup fitToHeight="1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2111">
    <pageSetUpPr fitToPage="1"/>
  </sheetPr>
  <dimension ref="A1:I58"/>
  <sheetViews>
    <sheetView zoomScale="75" zoomScaleNormal="75" zoomScaleSheetLayoutView="75" workbookViewId="0" topLeftCell="A36">
      <selection activeCell="A7" sqref="A7:F7"/>
    </sheetView>
  </sheetViews>
  <sheetFormatPr defaultColWidth="8.796875" defaultRowHeight="15"/>
  <cols>
    <col min="1" max="1" width="24.796875" style="2" customWidth="1"/>
    <col min="2" max="2" width="17" style="2" customWidth="1"/>
    <col min="3" max="5" width="15.796875" style="2" customWidth="1"/>
    <col min="6" max="6" width="15.796875" style="198" customWidth="1"/>
    <col min="7" max="7" width="2.796875" style="2" customWidth="1"/>
    <col min="8" max="16384" width="8.8984375" style="2" customWidth="1"/>
  </cols>
  <sheetData>
    <row r="1" spans="1:2" ht="15.75" customHeight="1">
      <c r="A1" s="205" t="str">
        <f>status!$C$1</f>
        <v>UNEP/OzL.Pro/ExCom/57/L.1</v>
      </c>
      <c r="B1" s="47"/>
    </row>
    <row r="2" spans="1:2" ht="15.75" customHeight="1">
      <c r="A2" s="205" t="s">
        <v>101</v>
      </c>
      <c r="B2" s="5"/>
    </row>
    <row r="3" spans="2:6" ht="15.75" customHeight="1">
      <c r="B3" s="5"/>
      <c r="F3" s="188"/>
    </row>
    <row r="4" spans="1:6" ht="19.5" customHeight="1">
      <c r="A4" s="6" t="s">
        <v>1</v>
      </c>
      <c r="B4" s="6"/>
      <c r="C4" s="6"/>
      <c r="D4" s="6"/>
      <c r="E4" s="6"/>
      <c r="F4" s="189"/>
    </row>
    <row r="5" spans="1:6" ht="19.5" customHeight="1">
      <c r="A5" s="119" t="s">
        <v>114</v>
      </c>
      <c r="B5" s="6"/>
      <c r="C5" s="8"/>
      <c r="D5" s="8"/>
      <c r="E5" s="6"/>
      <c r="F5" s="189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190"/>
      <c r="G6" s="3"/>
    </row>
    <row r="7" spans="1:7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91" t="s">
        <v>61</v>
      </c>
      <c r="G7" s="40"/>
    </row>
    <row r="8" spans="1:7" ht="18" customHeight="1">
      <c r="A8" s="56" t="s">
        <v>10</v>
      </c>
      <c r="B8" s="142">
        <v>3150805.58</v>
      </c>
      <c r="C8" s="34">
        <f>3150806</f>
        <v>3150806</v>
      </c>
      <c r="D8" s="34"/>
      <c r="E8" s="34">
        <v>0</v>
      </c>
      <c r="F8" s="192">
        <f aca="true" t="shared" si="0" ref="F8:F49">B8-C8-D8-E8</f>
        <v>-0.4199999999254942</v>
      </c>
      <c r="G8" s="41"/>
    </row>
    <row r="9" spans="1:7" ht="18" customHeight="1">
      <c r="A9" s="59" t="s">
        <v>11</v>
      </c>
      <c r="B9" s="143">
        <v>1832846.66</v>
      </c>
      <c r="C9" s="143">
        <v>1832846.66</v>
      </c>
      <c r="D9" s="22">
        <v>0</v>
      </c>
      <c r="E9" s="22">
        <v>0</v>
      </c>
      <c r="F9" s="193">
        <f t="shared" si="0"/>
        <v>0</v>
      </c>
      <c r="G9" s="41"/>
    </row>
    <row r="10" spans="1:7" ht="18" customHeight="1">
      <c r="A10" s="60" t="s">
        <v>12</v>
      </c>
      <c r="B10" s="143">
        <v>7684.89164893386</v>
      </c>
      <c r="C10" s="22">
        <v>0</v>
      </c>
      <c r="D10" s="22">
        <v>0</v>
      </c>
      <c r="E10" s="22">
        <v>0</v>
      </c>
      <c r="F10" s="193">
        <f t="shared" si="0"/>
        <v>7684.89164893386</v>
      </c>
      <c r="G10" s="41"/>
    </row>
    <row r="11" spans="1:7" ht="18" customHeight="1">
      <c r="A11" s="59" t="s">
        <v>13</v>
      </c>
      <c r="B11" s="143">
        <v>36503.24</v>
      </c>
      <c r="C11" s="22"/>
      <c r="D11" s="22">
        <v>0</v>
      </c>
      <c r="E11" s="22">
        <v>0</v>
      </c>
      <c r="F11" s="193">
        <f t="shared" si="0"/>
        <v>36503.24</v>
      </c>
      <c r="G11" s="41"/>
    </row>
    <row r="12" spans="1:7" ht="18" customHeight="1">
      <c r="A12" s="59" t="s">
        <v>14</v>
      </c>
      <c r="B12" s="143">
        <v>2186351.67</v>
      </c>
      <c r="C12" s="22">
        <f>2186352</f>
        <v>2186352</v>
      </c>
      <c r="D12" s="22">
        <v>0</v>
      </c>
      <c r="E12" s="22">
        <v>0</v>
      </c>
      <c r="F12" s="193">
        <f t="shared" si="0"/>
        <v>-0.3300000000745058</v>
      </c>
      <c r="G12" s="41"/>
    </row>
    <row r="13" spans="1:7" ht="18" customHeight="1">
      <c r="A13" s="59" t="s">
        <v>48</v>
      </c>
      <c r="B13" s="143">
        <v>24975.9</v>
      </c>
      <c r="C13" s="22">
        <v>24975.9</v>
      </c>
      <c r="D13" s="22">
        <v>0</v>
      </c>
      <c r="E13" s="22">
        <v>0</v>
      </c>
      <c r="F13" s="193">
        <f t="shared" si="0"/>
        <v>0</v>
      </c>
      <c r="G13" s="41"/>
    </row>
    <row r="14" spans="1:7" ht="18" customHeight="1">
      <c r="A14" s="59" t="s">
        <v>15</v>
      </c>
      <c r="B14" s="143">
        <v>4954833.89</v>
      </c>
      <c r="C14" s="22">
        <f>(275881.77-28902.47)+3963867+158374-222845</f>
        <v>4146375.3</v>
      </c>
      <c r="D14" s="22">
        <f>329960+478499</f>
        <v>808459</v>
      </c>
      <c r="E14" s="22">
        <v>0</v>
      </c>
      <c r="F14" s="193">
        <f t="shared" si="0"/>
        <v>-0.4100000001490116</v>
      </c>
      <c r="G14" s="41"/>
    </row>
    <row r="15" spans="1:7" ht="18" customHeight="1">
      <c r="A15" s="59" t="s">
        <v>16</v>
      </c>
      <c r="B15" s="143">
        <v>330450.34</v>
      </c>
      <c r="C15" s="143">
        <f>330450.34-66090</f>
        <v>264360.34</v>
      </c>
      <c r="D15" s="22">
        <v>66090</v>
      </c>
      <c r="E15" s="22">
        <v>0</v>
      </c>
      <c r="F15" s="193">
        <f t="shared" si="0"/>
        <v>0</v>
      </c>
      <c r="G15" s="41"/>
    </row>
    <row r="16" spans="1:7" ht="18" customHeight="1">
      <c r="A16" s="59" t="s">
        <v>17</v>
      </c>
      <c r="B16" s="143">
        <v>1450523.3</v>
      </c>
      <c r="C16" s="22">
        <v>1450523</v>
      </c>
      <c r="D16" s="22">
        <v>0</v>
      </c>
      <c r="E16" s="22">
        <v>0</v>
      </c>
      <c r="F16" s="193">
        <f t="shared" si="0"/>
        <v>0.30000000004656613</v>
      </c>
      <c r="G16" s="41"/>
    </row>
    <row r="17" spans="1:7" ht="18" customHeight="1">
      <c r="A17" s="59" t="s">
        <v>62</v>
      </c>
      <c r="B17" s="143">
        <v>19212.23</v>
      </c>
      <c r="C17" s="22">
        <v>19212</v>
      </c>
      <c r="D17" s="22">
        <v>0</v>
      </c>
      <c r="E17" s="22">
        <v>0</v>
      </c>
      <c r="F17" s="193">
        <f t="shared" si="0"/>
        <v>0.22999999999956344</v>
      </c>
      <c r="G17" s="41"/>
    </row>
    <row r="18" spans="1:7" ht="18" customHeight="1">
      <c r="A18" s="59" t="s">
        <v>18</v>
      </c>
      <c r="B18" s="143">
        <v>1010563.25</v>
      </c>
      <c r="C18" s="143">
        <v>1010563.25</v>
      </c>
      <c r="D18" s="22">
        <v>0</v>
      </c>
      <c r="E18" s="22"/>
      <c r="F18" s="193">
        <f t="shared" si="0"/>
        <v>0</v>
      </c>
      <c r="G18" s="41"/>
    </row>
    <row r="19" spans="1:7" ht="18" customHeight="1">
      <c r="A19" s="59" t="s">
        <v>19</v>
      </c>
      <c r="B19" s="143">
        <v>12518689</v>
      </c>
      <c r="C19" s="22">
        <v>12484064</v>
      </c>
      <c r="D19" s="22">
        <v>0</v>
      </c>
      <c r="E19" s="202">
        <v>0</v>
      </c>
      <c r="F19" s="193">
        <f>B19-C19-D19-E19</f>
        <v>34625</v>
      </c>
      <c r="G19" s="41"/>
    </row>
    <row r="20" spans="1:7" ht="18" customHeight="1">
      <c r="A20" s="59" t="s">
        <v>20</v>
      </c>
      <c r="B20" s="143">
        <v>18914439.57</v>
      </c>
      <c r="C20" s="22">
        <f>3900473+2404340.57+6304813.19+6304813.19</f>
        <v>18914439.950000003</v>
      </c>
      <c r="D20" s="22">
        <f>2969479+847393-33984</f>
        <v>3782888</v>
      </c>
      <c r="E20" s="22">
        <f>18914440-3900473-2404340.57-6304813.19-6304813.19</f>
        <v>0.04999999888241291</v>
      </c>
      <c r="F20" s="193">
        <f>B20-C20-D20-E20</f>
        <v>-3782888.4300000016</v>
      </c>
      <c r="G20" s="41"/>
    </row>
    <row r="21" spans="1:7" ht="18" customHeight="1">
      <c r="A21" s="59" t="s">
        <v>21</v>
      </c>
      <c r="B21" s="143">
        <v>1043224.04</v>
      </c>
      <c r="C21" s="22">
        <f>567054.44+967797.91</f>
        <v>1534852.35</v>
      </c>
      <c r="D21" s="22">
        <v>0</v>
      </c>
      <c r="E21" s="22">
        <v>0</v>
      </c>
      <c r="F21" s="193">
        <f t="shared" si="0"/>
        <v>-491628.31000000006</v>
      </c>
      <c r="G21" s="41"/>
    </row>
    <row r="22" spans="1:7" ht="18" customHeight="1">
      <c r="A22" s="59" t="s">
        <v>22</v>
      </c>
      <c r="B22" s="143">
        <v>232468</v>
      </c>
      <c r="C22" s="22">
        <f>186000+46468-46494</f>
        <v>185974</v>
      </c>
      <c r="D22" s="22">
        <v>46494</v>
      </c>
      <c r="E22" s="22">
        <v>0</v>
      </c>
      <c r="F22" s="193">
        <f t="shared" si="0"/>
        <v>0</v>
      </c>
      <c r="G22" s="41"/>
    </row>
    <row r="23" spans="1:7" ht="18" customHeight="1">
      <c r="A23" s="59" t="s">
        <v>23</v>
      </c>
      <c r="B23" s="143">
        <v>63400.36</v>
      </c>
      <c r="C23" s="143">
        <v>63400.36</v>
      </c>
      <c r="D23" s="22">
        <v>0</v>
      </c>
      <c r="E23" s="22">
        <v>0</v>
      </c>
      <c r="F23" s="193">
        <f t="shared" si="0"/>
        <v>0</v>
      </c>
      <c r="G23" s="41"/>
    </row>
    <row r="24" spans="1:7" ht="18" customHeight="1">
      <c r="A24" s="59" t="s">
        <v>93</v>
      </c>
      <c r="B24" s="143">
        <v>570603.2</v>
      </c>
      <c r="C24" s="22">
        <v>570603</v>
      </c>
      <c r="D24" s="22">
        <v>0</v>
      </c>
      <c r="E24" s="22">
        <v>0</v>
      </c>
      <c r="F24" s="193">
        <f t="shared" si="0"/>
        <v>0.19999999995343387</v>
      </c>
      <c r="G24" s="41"/>
    </row>
    <row r="25" spans="1:7" ht="18" customHeight="1">
      <c r="A25" s="59" t="s">
        <v>25</v>
      </c>
      <c r="B25" s="143">
        <v>803071.18</v>
      </c>
      <c r="C25" s="22">
        <v>70024</v>
      </c>
      <c r="D25" s="22">
        <v>0</v>
      </c>
      <c r="E25" s="22">
        <v>0</v>
      </c>
      <c r="F25" s="193">
        <f t="shared" si="0"/>
        <v>733047.18</v>
      </c>
      <c r="G25" s="41"/>
    </row>
    <row r="26" spans="1:7" ht="18" customHeight="1">
      <c r="A26" s="59" t="s">
        <v>108</v>
      </c>
      <c r="B26" s="143">
        <v>9805921.74</v>
      </c>
      <c r="C26" s="22">
        <v>7844737</v>
      </c>
      <c r="D26" s="22">
        <v>1961184.74</v>
      </c>
      <c r="E26" s="22">
        <v>0</v>
      </c>
      <c r="F26" s="193">
        <f t="shared" si="0"/>
        <v>2.3283064365386963E-10</v>
      </c>
      <c r="G26" s="41"/>
    </row>
    <row r="27" spans="1:7" ht="18" customHeight="1">
      <c r="A27" s="59" t="s">
        <v>64</v>
      </c>
      <c r="B27" s="143">
        <v>34760000</v>
      </c>
      <c r="C27" s="22">
        <f>34760000-38278</f>
        <v>34721722</v>
      </c>
      <c r="D27" s="22">
        <v>38278</v>
      </c>
      <c r="E27" s="22">
        <v>0</v>
      </c>
      <c r="F27" s="193">
        <f t="shared" si="0"/>
        <v>0</v>
      </c>
      <c r="G27" s="41"/>
    </row>
    <row r="28" spans="1:7" ht="18" customHeight="1">
      <c r="A28" s="59" t="s">
        <v>52</v>
      </c>
      <c r="B28" s="143">
        <v>19212.23</v>
      </c>
      <c r="C28" s="143">
        <v>19212.23</v>
      </c>
      <c r="D28" s="22">
        <v>0</v>
      </c>
      <c r="E28" s="22">
        <v>0</v>
      </c>
      <c r="F28" s="193">
        <f t="shared" si="0"/>
        <v>0</v>
      </c>
      <c r="G28" s="41"/>
    </row>
    <row r="29" spans="1:7" ht="18" customHeight="1">
      <c r="A29" s="59" t="s">
        <v>27</v>
      </c>
      <c r="B29" s="143">
        <v>11527.34</v>
      </c>
      <c r="C29" s="22">
        <v>11527</v>
      </c>
      <c r="D29" s="22">
        <v>0</v>
      </c>
      <c r="E29" s="22">
        <v>0</v>
      </c>
      <c r="F29" s="193">
        <f t="shared" si="0"/>
        <v>0.3400000000001455</v>
      </c>
      <c r="G29" s="41"/>
    </row>
    <row r="30" spans="1:7" ht="18" customHeight="1">
      <c r="A30" s="59" t="s">
        <v>28</v>
      </c>
      <c r="B30" s="143">
        <v>32660.79</v>
      </c>
      <c r="C30" s="22">
        <v>0</v>
      </c>
      <c r="D30" s="22">
        <v>0</v>
      </c>
      <c r="E30" s="22">
        <v>0</v>
      </c>
      <c r="F30" s="193">
        <f t="shared" si="0"/>
        <v>32660.79</v>
      </c>
      <c r="G30" s="41"/>
    </row>
    <row r="31" spans="1:7" ht="18" customHeight="1">
      <c r="A31" s="59" t="s">
        <v>29</v>
      </c>
      <c r="B31" s="143">
        <v>153697.83</v>
      </c>
      <c r="C31" s="143">
        <v>153697.83</v>
      </c>
      <c r="D31" s="22">
        <v>0</v>
      </c>
      <c r="E31" s="22">
        <v>0</v>
      </c>
      <c r="F31" s="193">
        <f t="shared" si="0"/>
        <v>0</v>
      </c>
      <c r="G31" s="41"/>
    </row>
    <row r="32" spans="1:7" ht="18" customHeight="1">
      <c r="A32" s="59" t="s">
        <v>30</v>
      </c>
      <c r="B32" s="143">
        <v>7684.89</v>
      </c>
      <c r="C32" s="22">
        <v>7704.89</v>
      </c>
      <c r="D32" s="22">
        <v>0</v>
      </c>
      <c r="E32" s="22">
        <v>0</v>
      </c>
      <c r="F32" s="193">
        <f t="shared" si="0"/>
        <v>-20</v>
      </c>
      <c r="G32" s="41"/>
    </row>
    <row r="33" spans="1:7" ht="18" customHeight="1">
      <c r="A33" s="59" t="s">
        <v>31</v>
      </c>
      <c r="B33" s="143">
        <v>3364061.32</v>
      </c>
      <c r="C33" s="22">
        <v>3364061.32</v>
      </c>
      <c r="D33" s="22">
        <v>0</v>
      </c>
      <c r="E33" s="22">
        <f>10092194-3364061-6728133</f>
        <v>0</v>
      </c>
      <c r="F33" s="193">
        <f t="shared" si="0"/>
        <v>0</v>
      </c>
      <c r="G33" s="41"/>
    </row>
    <row r="34" spans="1:7" ht="18" customHeight="1">
      <c r="A34" s="59" t="s">
        <v>32</v>
      </c>
      <c r="B34" s="143">
        <v>466857.17</v>
      </c>
      <c r="C34" s="143">
        <v>466857.17</v>
      </c>
      <c r="D34" s="22">
        <v>0</v>
      </c>
      <c r="E34" s="22">
        <v>0</v>
      </c>
      <c r="F34" s="193">
        <f t="shared" si="0"/>
        <v>0</v>
      </c>
      <c r="G34" s="41"/>
    </row>
    <row r="35" spans="1:7" ht="18" customHeight="1">
      <c r="A35" s="59" t="s">
        <v>33</v>
      </c>
      <c r="B35" s="143">
        <v>1252637.34</v>
      </c>
      <c r="C35" s="143">
        <v>1252637.34</v>
      </c>
      <c r="D35" s="22">
        <v>0</v>
      </c>
      <c r="E35" s="22">
        <v>0</v>
      </c>
      <c r="F35" s="193">
        <f t="shared" si="0"/>
        <v>0</v>
      </c>
      <c r="G35" s="41"/>
    </row>
    <row r="36" spans="1:7" ht="18" customHeight="1">
      <c r="A36" s="59" t="s">
        <v>34</v>
      </c>
      <c r="B36" s="143">
        <v>612870.11</v>
      </c>
      <c r="C36" s="22">
        <f>150000+462870</f>
        <v>612870</v>
      </c>
      <c r="D36" s="22">
        <v>0</v>
      </c>
      <c r="E36" s="22">
        <v>0</v>
      </c>
      <c r="F36" s="193">
        <f t="shared" si="0"/>
        <v>0.10999999998603016</v>
      </c>
      <c r="G36" s="41"/>
    </row>
    <row r="37" spans="1:7" ht="18" customHeight="1">
      <c r="A37" s="59" t="s">
        <v>35</v>
      </c>
      <c r="B37" s="143">
        <v>895289.88</v>
      </c>
      <c r="C37" s="22">
        <f>58843.5+3272.36+518616.36+314557.66</f>
        <v>895289.8799999999</v>
      </c>
      <c r="D37" s="22">
        <v>0</v>
      </c>
      <c r="E37" s="22">
        <v>0</v>
      </c>
      <c r="F37" s="193">
        <f t="shared" si="0"/>
        <v>1.1641532182693481E-10</v>
      </c>
      <c r="G37" s="41"/>
    </row>
    <row r="38" spans="1:7" ht="18" customHeight="1">
      <c r="A38" s="59" t="s">
        <v>36</v>
      </c>
      <c r="B38" s="143">
        <v>2305467.49</v>
      </c>
      <c r="C38" s="22">
        <v>0</v>
      </c>
      <c r="D38" s="22">
        <v>0</v>
      </c>
      <c r="E38" s="22">
        <v>0</v>
      </c>
      <c r="F38" s="193">
        <f t="shared" si="0"/>
        <v>2305467.49</v>
      </c>
      <c r="G38" s="41"/>
    </row>
    <row r="39" spans="1:7" ht="18" customHeight="1">
      <c r="A39" s="61" t="s">
        <v>96</v>
      </c>
      <c r="B39" s="143">
        <v>82613</v>
      </c>
      <c r="C39" s="22">
        <f>82613-16523</f>
        <v>66090</v>
      </c>
      <c r="D39" s="22">
        <v>16523</v>
      </c>
      <c r="E39" s="22">
        <v>0</v>
      </c>
      <c r="F39" s="193">
        <f t="shared" si="0"/>
        <v>0</v>
      </c>
      <c r="G39" s="41"/>
    </row>
    <row r="40" spans="1:7" ht="18" customHeight="1">
      <c r="A40" s="59" t="s">
        <v>56</v>
      </c>
      <c r="B40" s="143">
        <v>155619.06</v>
      </c>
      <c r="C40" s="22">
        <v>155619</v>
      </c>
      <c r="D40" s="22">
        <v>0</v>
      </c>
      <c r="E40" s="22">
        <v>0</v>
      </c>
      <c r="F40" s="193">
        <f t="shared" si="0"/>
        <v>0.059999999997671694</v>
      </c>
      <c r="G40" s="41"/>
    </row>
    <row r="41" spans="1:7" ht="18" customHeight="1">
      <c r="A41" s="59" t="s">
        <v>38</v>
      </c>
      <c r="B41" s="143">
        <v>4877985</v>
      </c>
      <c r="C41" s="22">
        <f>3902388+975597</f>
        <v>4877985</v>
      </c>
      <c r="D41" s="22">
        <v>0</v>
      </c>
      <c r="E41" s="22">
        <v>0</v>
      </c>
      <c r="F41" s="193">
        <f t="shared" si="0"/>
        <v>0</v>
      </c>
      <c r="G41" s="41"/>
    </row>
    <row r="42" spans="1:7" ht="18" customHeight="1">
      <c r="A42" s="59" t="s">
        <v>91</v>
      </c>
      <c r="B42" s="143">
        <v>1988465.71</v>
      </c>
      <c r="C42" s="22">
        <f>1590772.67+49926</f>
        <v>1640698.67</v>
      </c>
      <c r="D42" s="22">
        <f>49450+73450+217364-49926</f>
        <v>290338</v>
      </c>
      <c r="E42" s="22"/>
      <c r="F42" s="193">
        <f t="shared" si="0"/>
        <v>57429.04000000004</v>
      </c>
      <c r="G42" s="41"/>
    </row>
    <row r="43" spans="1:7" ht="18" customHeight="1">
      <c r="A43" s="59" t="s">
        <v>40</v>
      </c>
      <c r="B43" s="143">
        <v>2447637.99</v>
      </c>
      <c r="C43" s="22">
        <f>2428749.87+18888.12</f>
        <v>2447637.99</v>
      </c>
      <c r="D43" s="22">
        <v>0</v>
      </c>
      <c r="E43" s="22">
        <v>0</v>
      </c>
      <c r="F43" s="193">
        <f t="shared" si="0"/>
        <v>0</v>
      </c>
      <c r="G43" s="41"/>
    </row>
    <row r="44" spans="1:7" ht="18" customHeight="1">
      <c r="A44" s="59" t="s">
        <v>41</v>
      </c>
      <c r="B44" s="143">
        <v>1921.22</v>
      </c>
      <c r="C44" s="22">
        <v>0</v>
      </c>
      <c r="D44" s="22">
        <v>0</v>
      </c>
      <c r="E44" s="22">
        <v>0</v>
      </c>
      <c r="F44" s="193">
        <f t="shared" si="0"/>
        <v>1921.22</v>
      </c>
      <c r="G44" s="41"/>
    </row>
    <row r="45" spans="1:7" ht="18" customHeight="1">
      <c r="A45" s="59" t="s">
        <v>42</v>
      </c>
      <c r="B45" s="143">
        <v>5763.67</v>
      </c>
      <c r="C45" s="22">
        <v>0</v>
      </c>
      <c r="D45" s="22">
        <v>0</v>
      </c>
      <c r="E45" s="22">
        <v>0</v>
      </c>
      <c r="F45" s="193">
        <f t="shared" si="0"/>
        <v>5763.67</v>
      </c>
      <c r="G45" s="41"/>
    </row>
    <row r="46" spans="1:7" ht="18" customHeight="1">
      <c r="A46" s="59" t="s">
        <v>43</v>
      </c>
      <c r="B46" s="143">
        <v>101824.81</v>
      </c>
      <c r="C46" s="22">
        <v>0</v>
      </c>
      <c r="D46" s="22">
        <v>0</v>
      </c>
      <c r="E46" s="22">
        <v>0</v>
      </c>
      <c r="F46" s="193">
        <f t="shared" si="0"/>
        <v>101824.81</v>
      </c>
      <c r="G46" s="41"/>
    </row>
    <row r="47" spans="1:7" ht="18" customHeight="1">
      <c r="A47" s="59" t="s">
        <v>44</v>
      </c>
      <c r="B47" s="143">
        <v>10718502.63</v>
      </c>
      <c r="C47" s="22">
        <f>2134436.88-348019+1786417.11+3572834.21+3572834.21-0.37</f>
        <v>10718503.040000001</v>
      </c>
      <c r="D47" s="22">
        <v>0</v>
      </c>
      <c r="E47" s="22">
        <f>8584066+348019-1786417-3572834-3572834</f>
        <v>0</v>
      </c>
      <c r="F47" s="193">
        <f>B47-C47-D47-E47</f>
        <v>-0.4100000001490116</v>
      </c>
      <c r="G47" s="41"/>
    </row>
    <row r="48" spans="1:9" ht="18" customHeight="1">
      <c r="A48" s="59" t="s">
        <v>45</v>
      </c>
      <c r="B48" s="143">
        <v>34760000</v>
      </c>
      <c r="C48" s="22">
        <f>1246098+3000000-543832+17000000+3000000+(5000000-1877366)+3000000+4935100</f>
        <v>34760000</v>
      </c>
      <c r="D48" s="22">
        <v>0</v>
      </c>
      <c r="E48" s="22">
        <v>0</v>
      </c>
      <c r="F48" s="193">
        <f>B48-C48-D48-E48</f>
        <v>0</v>
      </c>
      <c r="G48" s="41"/>
      <c r="I48" s="2" t="s">
        <v>95</v>
      </c>
    </row>
    <row r="49" spans="1:9" ht="18" customHeight="1" thickBot="1">
      <c r="A49" s="62" t="s">
        <v>46</v>
      </c>
      <c r="B49" s="143">
        <v>21133.45</v>
      </c>
      <c r="C49" s="55">
        <v>21133</v>
      </c>
      <c r="D49" s="55">
        <v>0</v>
      </c>
      <c r="E49" s="55">
        <v>0</v>
      </c>
      <c r="F49" s="194">
        <f t="shared" si="0"/>
        <v>0.4500000000007276</v>
      </c>
      <c r="G49" s="41"/>
      <c r="I49" s="2">
        <f>C48-3702266</f>
        <v>31057734</v>
      </c>
    </row>
    <row r="50" spans="1:7" ht="19.5" customHeight="1" thickBot="1">
      <c r="A50" s="65" t="s">
        <v>2</v>
      </c>
      <c r="B50" s="144">
        <f>SUM(B8:B49)</f>
        <v>158000000.97164893</v>
      </c>
      <c r="C50" s="54">
        <f>SUM(C8:C49)</f>
        <v>151947355.47000003</v>
      </c>
      <c r="D50" s="54">
        <f>SUM(D8:D49)</f>
        <v>7010254.74</v>
      </c>
      <c r="E50" s="54">
        <f>SUM(E8:E49)</f>
        <v>0.04999999888241291</v>
      </c>
      <c r="F50" s="195">
        <f>SUM(F8:F49)</f>
        <v>-957609.2883510669</v>
      </c>
      <c r="G50" s="41"/>
    </row>
    <row r="51" spans="1:7" ht="15.75">
      <c r="A51" s="309" t="s">
        <v>109</v>
      </c>
      <c r="B51" s="310"/>
      <c r="C51" s="310"/>
      <c r="D51" s="12"/>
      <c r="E51" s="12"/>
      <c r="F51" s="196"/>
      <c r="G51" s="41"/>
    </row>
    <row r="52" spans="1:9" ht="15.75">
      <c r="A52" s="20"/>
      <c r="B52" s="12"/>
      <c r="C52" s="12"/>
      <c r="D52" s="12"/>
      <c r="E52" s="12"/>
      <c r="F52" s="196"/>
      <c r="G52" s="41"/>
      <c r="I52" s="22"/>
    </row>
    <row r="53" spans="1:7" ht="15.75">
      <c r="A53" s="20"/>
      <c r="B53" s="12"/>
      <c r="C53" s="12"/>
      <c r="D53" s="12"/>
      <c r="E53" s="12"/>
      <c r="F53" s="196"/>
      <c r="G53" s="41"/>
    </row>
    <row r="55" spans="1:7" ht="16.5" thickBot="1">
      <c r="A55" s="12"/>
      <c r="B55" s="12"/>
      <c r="C55" s="12"/>
      <c r="D55" s="12"/>
      <c r="E55" s="12"/>
      <c r="F55" s="196"/>
      <c r="G55" s="41"/>
    </row>
    <row r="56" spans="1:7" ht="15.75" customHeight="1" thickBot="1">
      <c r="A56" s="48" t="s">
        <v>67</v>
      </c>
      <c r="B56" s="49">
        <f>B10+B11+B13+B15+B17+B22+B28+B30+B36+B38+B39+B40+B44+B45+B46+B49</f>
        <v>3990380.4316489347</v>
      </c>
      <c r="C56" s="49">
        <f>C10+C11+C13+C15+C17+C22+C28+C30+C36+C38+C39+C40+C44+C45+C46+C49</f>
        <v>1369446.47</v>
      </c>
      <c r="D56" s="49">
        <f>D10+D11+D13+D15+D17+D22+D28+D30+D36+D38+D39+D40+D44+D45+D46+D49</f>
        <v>129107</v>
      </c>
      <c r="E56" s="49">
        <f>E10+E11+E13+E15+E17+E22+E28+E30+E36+E38+E39+E40+E44+E45+E46+E49</f>
        <v>0</v>
      </c>
      <c r="F56" s="197">
        <f>B56-C56-D56-E56</f>
        <v>2491826.9616489345</v>
      </c>
      <c r="G56" s="41"/>
    </row>
    <row r="57" ht="15.75">
      <c r="G57" s="41"/>
    </row>
    <row r="58" ht="15.75">
      <c r="A58" s="145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211">
    <pageSetUpPr fitToPage="1"/>
  </sheetPr>
  <dimension ref="A1:G57"/>
  <sheetViews>
    <sheetView zoomScale="75" zoomScaleNormal="75" zoomScaleSheetLayoutView="75" workbookViewId="0" topLeftCell="A31">
      <selection activeCell="A7" sqref="A7:F7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102</v>
      </c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115</v>
      </c>
      <c r="B5" s="86"/>
      <c r="C5" s="87"/>
      <c r="D5" s="87"/>
      <c r="E5" s="86"/>
      <c r="F5" s="86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8"/>
      <c r="G6" s="3"/>
    </row>
    <row r="7" spans="1:7" ht="32.25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  <c r="G7" s="40"/>
    </row>
    <row r="8" spans="1:7" ht="18" customHeight="1">
      <c r="A8" s="56" t="s">
        <v>10</v>
      </c>
      <c r="B8" s="34">
        <f>'[1]YR91-93'!B8+'[1]YR94-96'!B8+'[1]YR97-99'!B8+'[1]YR00-02'!B8</f>
        <v>27774978</v>
      </c>
      <c r="C8" s="34">
        <f>'[1]YR91-93'!C8+'[1]YR94-96'!C8+'[1]YR97-99'!C8+'[1]YR00-02'!C8</f>
        <v>26633020.990000002</v>
      </c>
      <c r="D8" s="34">
        <f>'[1]YR91-93'!D8+'[1]YR94-96'!D8+'[1]YR97-99'!D8+'[1]YR00-02'!D8</f>
        <v>1141957</v>
      </c>
      <c r="E8" s="34">
        <f>'[1]YR91-93'!E8+'[1]YR94-96'!E8+'[1]YR97-99'!E8+'[1]YR00-02'!E8</f>
        <v>0</v>
      </c>
      <c r="F8" s="57">
        <f aca="true" t="shared" si="0" ref="F8:F51">B8-C8-D8-E8</f>
        <v>0.009999997913837433</v>
      </c>
      <c r="G8" s="40"/>
    </row>
    <row r="9" spans="1:7" ht="18" customHeight="1">
      <c r="A9" s="59" t="s">
        <v>11</v>
      </c>
      <c r="B9" s="22">
        <f>'[1]YR91-93'!B9+'[1]YR94-96'!B9+'[1]YR97-99'!B9+'[1]YR00-02'!B9</f>
        <v>15708821</v>
      </c>
      <c r="C9" s="22">
        <f>'[1]YR91-93'!C9+'[1]YR94-96'!C9+'[1]YR97-99'!C9+'[1]YR00-02'!C9</f>
        <v>15577031</v>
      </c>
      <c r="D9" s="22">
        <f>'[1]YR91-93'!D9+'[1]YR94-96'!D9+'[1]YR97-99'!D9+'[1]YR00-02'!D9</f>
        <v>131790</v>
      </c>
      <c r="E9" s="22">
        <f>'[1]YR91-93'!E9+'[1]YR94-96'!E9+'[1]YR97-99'!E9+'[1]YR00-02'!E9</f>
        <v>0</v>
      </c>
      <c r="F9" s="57">
        <f t="shared" si="0"/>
        <v>0</v>
      </c>
      <c r="G9" s="40"/>
    </row>
    <row r="10" spans="1:7" ht="18" customHeight="1">
      <c r="A10" s="60" t="s">
        <v>12</v>
      </c>
      <c r="B10" s="22">
        <f>'[1]YR91-93'!B10+'[1]YR94-96'!B10+'[1]YR97-99'!B10+'[1]YR00-02'!B10</f>
        <v>821435</v>
      </c>
      <c r="C10" s="22">
        <f>'[1]YR91-93'!C10+'[1]YR94-96'!C10+'[1]YR97-99'!C10+'[1]YR00-02'!C10</f>
        <v>311682.67</v>
      </c>
      <c r="D10" s="22">
        <f>'[1]YR91-93'!D10+'[1]YR94-96'!D10+'[1]YR97-99'!D10+'[1]YR00-02'!D10</f>
        <v>0</v>
      </c>
      <c r="E10" s="22">
        <f>'[1]YR91-93'!E10+'[1]YR94-96'!E10+'[1]YR97-99'!E10+'[1]YR00-02'!E10</f>
        <v>0</v>
      </c>
      <c r="F10" s="57">
        <f t="shared" si="0"/>
        <v>509752.33</v>
      </c>
      <c r="G10" s="40"/>
    </row>
    <row r="11" spans="1:7" ht="18" customHeight="1">
      <c r="A11" s="59" t="s">
        <v>13</v>
      </c>
      <c r="B11" s="22">
        <f>'[1]YR91-93'!B11+'[1]YR94-96'!B11+'[1]YR97-99'!B11+'[1]YR00-02'!B11</f>
        <v>2460782</v>
      </c>
      <c r="C11" s="22">
        <f>'[1]YR91-93'!C11+'[1]YR94-96'!C11+'[1]YR97-99'!C11+'[1]YR00-02'!C11</f>
        <v>0</v>
      </c>
      <c r="D11" s="22">
        <f>'[1]YR91-93'!D11+'[1]YR94-96'!D11+'[1]YR97-99'!D11+'[1]YR00-02'!D11</f>
        <v>0</v>
      </c>
      <c r="E11" s="22">
        <f>'[1]YR91-93'!E11+'[1]YR94-96'!E11+'[1]YR97-99'!E11+'[1]YR00-02'!E11</f>
        <v>0</v>
      </c>
      <c r="F11" s="57">
        <f t="shared" si="0"/>
        <v>2460782</v>
      </c>
      <c r="G11" s="40"/>
    </row>
    <row r="12" spans="1:7" ht="18" customHeight="1">
      <c r="A12" s="59" t="s">
        <v>14</v>
      </c>
      <c r="B12" s="22">
        <f>'[1]YR91-93'!B12+'[1]YR94-96'!B12+'[1]YR97-99'!B12+'[1]YR00-02'!B12</f>
        <v>19684410</v>
      </c>
      <c r="C12" s="22">
        <f>'[1]YR91-93'!C12+'[1]YR94-96'!C12+'[1]YR97-99'!C12+'[1]YR00-02'!C12</f>
        <v>19684410</v>
      </c>
      <c r="D12" s="22">
        <f>'[1]YR91-93'!D12+'[1]YR94-96'!D12+'[1]YR97-99'!D12+'[1]YR00-02'!D12</f>
        <v>0</v>
      </c>
      <c r="E12" s="22">
        <f>'[1]YR91-93'!E12+'[1]YR94-96'!E12+'[1]YR97-99'!E12+'[1]YR00-02'!E12</f>
        <v>0</v>
      </c>
      <c r="F12" s="57">
        <f t="shared" si="0"/>
        <v>0</v>
      </c>
      <c r="G12" s="40"/>
    </row>
    <row r="13" spans="1:7" ht="18" customHeight="1">
      <c r="A13" s="59" t="s">
        <v>48</v>
      </c>
      <c r="B13" s="22">
        <f>'[1]YR91-93'!B13+'[1]YR94-96'!B13+'[1]YR97-99'!B13+'[1]YR00-02'!B13</f>
        <v>992679</v>
      </c>
      <c r="C13" s="22">
        <f>'[1]YR91-93'!C13+'[1]YR94-96'!C13+'[1]YR97-99'!C13+'[1]YR00-02'!C13</f>
        <v>992679</v>
      </c>
      <c r="D13" s="22">
        <f>'[1]YR91-93'!D13+'[1]YR94-96'!D13+'[1]YR97-99'!D13+'[1]YR00-02'!D13</f>
        <v>0</v>
      </c>
      <c r="E13" s="22">
        <f>'[1]YR91-93'!E13+'[1]YR94-96'!E13+'[1]YR97-99'!E13+'[1]YR00-02'!E13</f>
        <v>0</v>
      </c>
      <c r="F13" s="57">
        <f t="shared" si="0"/>
        <v>0</v>
      </c>
      <c r="G13" s="40"/>
    </row>
    <row r="14" spans="1:7" ht="18" customHeight="1">
      <c r="A14" s="59" t="s">
        <v>15</v>
      </c>
      <c r="B14" s="22">
        <f>'[1]YR91-93'!B14+'[1]YR94-96'!B14+'[1]YR97-99'!B14+'[1]YR00-02'!B14</f>
        <v>55888695</v>
      </c>
      <c r="C14" s="22">
        <f>'[1]YR91-93'!C14+'[1]YR94-96'!C14+'[1]YR97-99'!C14+'[1]YR00-02'!C14</f>
        <v>49440256.61</v>
      </c>
      <c r="D14" s="22">
        <f>'[1]YR91-93'!D14+'[1]YR94-96'!D14+'[1]YR97-99'!D14+'[1]YR00-02'!D14</f>
        <v>6448438</v>
      </c>
      <c r="E14" s="22">
        <f>'[1]YR91-93'!E14+'[1]YR94-96'!E14+'[1]YR97-99'!E14+'[1]YR00-02'!E14</f>
        <v>0</v>
      </c>
      <c r="F14" s="57">
        <f t="shared" si="0"/>
        <v>0.39000000059604645</v>
      </c>
      <c r="G14" s="40"/>
    </row>
    <row r="15" spans="1:7" ht="18" customHeight="1">
      <c r="A15" s="59" t="s">
        <v>16</v>
      </c>
      <c r="B15" s="22">
        <f>'[1]YR91-93'!B16+'[1]YR94-96'!B16+'[1]YR97-99'!B15+'[1]YR00-02'!B15</f>
        <v>4790017</v>
      </c>
      <c r="C15" s="22">
        <f>'[1]YR91-93'!C16+'[1]YR94-96'!C16+'[1]YR97-99'!C15+'[1]YR00-02'!C15</f>
        <v>4790017</v>
      </c>
      <c r="D15" s="22">
        <f>'[1]YR91-93'!D16+'[1]YR94-96'!D16+'[1]YR97-99'!D15+'[1]YR00-02'!D15</f>
        <v>0</v>
      </c>
      <c r="E15" s="22">
        <f>'[1]YR91-93'!E16+'[1]YR94-96'!E16+'[1]YR97-99'!E15+'[1]YR00-02'!E15</f>
        <v>0</v>
      </c>
      <c r="F15" s="57">
        <f t="shared" si="0"/>
        <v>0</v>
      </c>
      <c r="G15" s="40"/>
    </row>
    <row r="16" spans="1:7" ht="18" customHeight="1">
      <c r="A16" s="59" t="s">
        <v>17</v>
      </c>
      <c r="B16" s="22">
        <f>'[1]YR91-93'!B17+'[1]YR94-96'!B17+'[1]YR97-99'!B16+'[1]YR00-02'!B16</f>
        <v>12826896</v>
      </c>
      <c r="C16" s="22">
        <f>'[1]YR91-93'!C17+'[1]YR94-96'!C17+'[1]YR97-99'!C16+'[1]YR00-02'!C16</f>
        <v>12621896</v>
      </c>
      <c r="D16" s="22">
        <f>'[1]YR91-93'!D17+'[1]YR94-96'!D17+'[1]YR97-99'!D16+'[1]YR00-02'!D16</f>
        <v>205000</v>
      </c>
      <c r="E16" s="22">
        <f>'[1]YR91-93'!E17+'[1]YR94-96'!E17+'[1]YR97-99'!E16+'[1]YR00-02'!E16</f>
        <v>0</v>
      </c>
      <c r="F16" s="57">
        <f t="shared" si="0"/>
        <v>0</v>
      </c>
      <c r="G16" s="40"/>
    </row>
    <row r="17" spans="1:7" ht="18" customHeight="1">
      <c r="A17" s="59" t="s">
        <v>62</v>
      </c>
      <c r="B17" s="22">
        <f>'[1]YR91-93'!B18+'[1]YR94-96'!B18+'[1]YR97-99'!B17+'[1]YR00-02'!B17</f>
        <v>75372</v>
      </c>
      <c r="C17" s="22">
        <f>'[1]YR91-93'!C18+'[1]YR94-96'!C18+'[1]YR97-99'!C17+'[1]YR00-02'!C17</f>
        <v>75372</v>
      </c>
      <c r="D17" s="22">
        <f>'[1]YR91-93'!D18+'[1]YR94-96'!D18+'[1]YR97-99'!D17+'[1]YR00-02'!D17</f>
        <v>0</v>
      </c>
      <c r="E17" s="22">
        <f>'[1]YR91-93'!E18+'[1]YR94-96'!E18+'[1]YR97-99'!E17+'[1]YR00-02'!E17</f>
        <v>0</v>
      </c>
      <c r="F17" s="57">
        <f t="shared" si="0"/>
        <v>0</v>
      </c>
      <c r="G17" s="40"/>
    </row>
    <row r="18" spans="1:7" ht="18" customHeight="1">
      <c r="A18" s="59" t="s">
        <v>18</v>
      </c>
      <c r="B18" s="22">
        <f>'[1]YR91-93'!B19+'[1]YR94-96'!B19+'[1]YR97-99'!B18+'[1]YR00-02'!B18</f>
        <v>10701993</v>
      </c>
      <c r="C18" s="22">
        <f>'[1]YR91-93'!C19+'[1]YR94-96'!C19+'[1]YR97-99'!C18+'[1]YR00-02'!C18</f>
        <v>10250123</v>
      </c>
      <c r="D18" s="22">
        <f>'[1]YR91-93'!D19+'[1]YR94-96'!D19+'[1]YR97-99'!D18+'[1]YR00-02'!D18</f>
        <v>451870</v>
      </c>
      <c r="E18" s="22">
        <f>'[1]YR91-93'!E19+'[1]YR94-96'!E19+'[1]YR97-99'!E18+'[1]YR00-02'!E18</f>
        <v>0</v>
      </c>
      <c r="F18" s="57">
        <f t="shared" si="0"/>
        <v>0</v>
      </c>
      <c r="G18" s="40"/>
    </row>
    <row r="19" spans="1:7" ht="18" customHeight="1">
      <c r="A19" s="59" t="s">
        <v>19</v>
      </c>
      <c r="B19" s="22">
        <f>'[1]YR91-93'!B20+'[1]YR94-96'!B20+'[1]YR97-99'!B19+'[1]YR00-02'!B19</f>
        <v>116781125</v>
      </c>
      <c r="C19" s="22">
        <f>'[1]YR91-93'!C20+'[1]YR94-96'!C20+'[1]YR97-99'!C19+'[1]YR00-02'!C19</f>
        <v>108223555.25999999</v>
      </c>
      <c r="D19" s="22">
        <f>'[1]YR91-93'!D20+'[1]YR94-96'!D20+'[1]YR97-99'!D19+'[1]YR00-02'!D19</f>
        <v>8592195</v>
      </c>
      <c r="E19" s="22">
        <f>'[1]YR91-93'!E20+'[1]YR94-96'!E20+'[1]YR97-99'!E19+'[1]YR00-02'!E19</f>
        <v>0</v>
      </c>
      <c r="F19" s="57">
        <f t="shared" si="0"/>
        <v>-34625.25999999046</v>
      </c>
      <c r="G19" s="40"/>
    </row>
    <row r="20" spans="1:7" ht="18" customHeight="1">
      <c r="A20" s="59" t="s">
        <v>20</v>
      </c>
      <c r="B20" s="22">
        <f>'[1]YR91-93'!B21+'[1]YR94-96'!B21+'[1]YR97-99'!B20+'[1]YR00-02'!B20</f>
        <v>171544782</v>
      </c>
      <c r="C20" s="22">
        <f>'[1]YR91-93'!C21+'[1]YR94-96'!C21+'[1]YR97-99'!C20+'[1]YR00-02'!C20</f>
        <v>150363622</v>
      </c>
      <c r="D20" s="22">
        <f>'[1]YR91-93'!D21+'[1]YR94-96'!D21+'[1]YR97-99'!D20+'[1]YR00-02'!D20</f>
        <v>21181160</v>
      </c>
      <c r="E20" s="22">
        <f>'[1]YR91-93'!E21+'[1]YR94-96'!E21+'[1]YR97-99'!E20+'[1]YR00-02'!E20</f>
        <v>0</v>
      </c>
      <c r="F20" s="57">
        <f t="shared" si="0"/>
        <v>0</v>
      </c>
      <c r="G20" s="40"/>
    </row>
    <row r="21" spans="1:7" ht="18" customHeight="1">
      <c r="A21" s="59" t="s">
        <v>21</v>
      </c>
      <c r="B21" s="22">
        <f>'[1]YR91-93'!B22+'[1]YR94-96'!B22+'[1]YR97-99'!B21+'[1]YR00-02'!B21</f>
        <v>6796767</v>
      </c>
      <c r="C21" s="22">
        <f>'[1]YR91-93'!C22+'[1]YR94-96'!C22+'[1]YR97-99'!C21+'[1]YR00-02'!C21</f>
        <v>6847138.05</v>
      </c>
      <c r="D21" s="22">
        <f>'[1]YR91-93'!D22+'[1]YR94-96'!D22+'[1]YR97-99'!D21+'[1]YR00-02'!D21</f>
        <v>0</v>
      </c>
      <c r="E21" s="22">
        <f>'[1]YR91-93'!E22+'[1]YR94-96'!E22+'[1]YR97-99'!E21+'[1]YR00-02'!E21</f>
        <v>0</v>
      </c>
      <c r="F21" s="57">
        <f t="shared" si="0"/>
        <v>-50371.049999999814</v>
      </c>
      <c r="G21" s="40"/>
    </row>
    <row r="22" spans="1:7" ht="18" customHeight="1">
      <c r="A22" s="59" t="s">
        <v>22</v>
      </c>
      <c r="B22" s="22">
        <f>'[1]YR91-93'!B23+'[1]YR94-96'!B23+'[1]YR97-99'!B22+'[1]YR00-02'!B22</f>
        <v>2795639</v>
      </c>
      <c r="C22" s="22">
        <f>'[1]YR91-93'!C23+'[1]YR94-96'!C23+'[1]YR97-99'!C22+'[1]YR00-02'!C22</f>
        <v>2795639</v>
      </c>
      <c r="D22" s="22">
        <f>'[1]YR91-93'!D23+'[1]YR94-96'!D23+'[1]YR97-99'!D22+'[1]YR00-02'!D22</f>
        <v>0</v>
      </c>
      <c r="E22" s="22">
        <f>'[1]YR91-93'!E23+'[1]YR94-96'!E23+'[1]YR97-99'!E22+'[1]YR00-02'!E22</f>
        <v>0</v>
      </c>
      <c r="F22" s="57">
        <f t="shared" si="0"/>
        <v>0</v>
      </c>
      <c r="G22" s="40"/>
    </row>
    <row r="23" spans="1:7" ht="18" customHeight="1">
      <c r="A23" s="59" t="s">
        <v>23</v>
      </c>
      <c r="B23" s="22">
        <f>'[1]YR91-93'!B24+'[1]YR94-96'!B24+'[1]YR97-99'!B23+'[1]YR00-02'!B23</f>
        <v>567233</v>
      </c>
      <c r="C23" s="22">
        <f>'[1]YR91-93'!C24+'[1]YR94-96'!C24+'[1]YR97-99'!C23+'[1]YR00-02'!C23</f>
        <v>567233</v>
      </c>
      <c r="D23" s="22">
        <f>'[1]YR91-93'!D24+'[1]YR94-96'!D24+'[1]YR97-99'!D23+'[1]YR00-02'!D23</f>
        <v>0</v>
      </c>
      <c r="E23" s="22">
        <f>'[1]YR91-93'!E24+'[1]YR94-96'!E24+'[1]YR97-99'!E23+'[1]YR00-02'!E23</f>
        <v>0</v>
      </c>
      <c r="F23" s="57">
        <f t="shared" si="0"/>
        <v>0</v>
      </c>
      <c r="G23" s="40"/>
    </row>
    <row r="24" spans="1:7" ht="18" customHeight="1">
      <c r="A24" s="59" t="s">
        <v>24</v>
      </c>
      <c r="B24" s="22">
        <f>'[1]YR91-93'!B25+'[1]YR94-96'!B25+'[1]YR97-99'!B24+'[1]YR00-02'!B24</f>
        <v>3781816</v>
      </c>
      <c r="C24" s="22">
        <f>'[1]YR91-93'!C25+'[1]YR94-96'!C25+'[1]YR97-99'!C24+'[1]YR00-02'!C24</f>
        <v>3781816</v>
      </c>
      <c r="D24" s="22">
        <f>'[1]YR91-93'!D25+'[1]YR94-96'!D25+'[1]YR97-99'!D24+'[1]YR00-02'!D24</f>
        <v>0</v>
      </c>
      <c r="E24" s="22">
        <f>'[1]YR91-93'!E25+'[1]YR94-96'!E25+'[1]YR97-99'!E24+'[1]YR00-02'!E24</f>
        <v>0</v>
      </c>
      <c r="F24" s="57">
        <f t="shared" si="0"/>
        <v>0</v>
      </c>
      <c r="G24" s="40"/>
    </row>
    <row r="25" spans="1:7" ht="18" customHeight="1">
      <c r="A25" s="59" t="s">
        <v>25</v>
      </c>
      <c r="B25" s="22">
        <f>'[1]YR91-93'!B26+'[1]YR94-96'!B26+'[1]YR97-99'!B25+'[1]YR00-02'!B25</f>
        <v>4782864</v>
      </c>
      <c r="C25" s="22">
        <f>'[1]YR91-93'!C26+'[1]YR94-96'!C26+'[1]YR97-99'!C25+'[1]YR00-02'!C25</f>
        <v>3654647</v>
      </c>
      <c r="D25" s="22">
        <f>'[1]YR91-93'!D26+'[1]YR94-96'!D26+'[1]YR97-99'!D25+'[1]YR00-02'!D25</f>
        <v>38106</v>
      </c>
      <c r="E25" s="22">
        <f>'[1]YR91-93'!E26+'[1]YR94-96'!E26+'[1]YR97-99'!E25+'[1]YR00-02'!E25</f>
        <v>0</v>
      </c>
      <c r="F25" s="57">
        <f t="shared" si="0"/>
        <v>1090111</v>
      </c>
      <c r="G25" s="40"/>
    </row>
    <row r="26" spans="1:7" ht="18" customHeight="1">
      <c r="A26" s="59" t="s">
        <v>26</v>
      </c>
      <c r="B26" s="22">
        <f>'[1]YR91-93'!B27+'[1]YR94-96'!B27+'[1]YR97-99'!B26+'[1]YR00-02'!B26</f>
        <v>89988031</v>
      </c>
      <c r="C26" s="22">
        <f>'[1]YR91-93'!C27+'[1]YR94-96'!C27+'[1]YR97-99'!C26+'[1]YR00-02'!C26</f>
        <v>84667185.03999999</v>
      </c>
      <c r="D26" s="22">
        <f>'[1]YR91-93'!D27+'[1]YR94-96'!D27+'[1]YR97-99'!D26+'[1]YR00-02'!D26</f>
        <v>5320845.96</v>
      </c>
      <c r="E26" s="22">
        <f>'[1]YR91-93'!E27+'[1]YR94-96'!E27+'[1]YR97-99'!E26+'[1]YR00-02'!E26</f>
        <v>0</v>
      </c>
      <c r="F26" s="57">
        <f t="shared" si="0"/>
        <v>8.381903171539307E-09</v>
      </c>
      <c r="G26" s="40"/>
    </row>
    <row r="27" spans="1:7" ht="18" customHeight="1">
      <c r="A27" s="59" t="s">
        <v>64</v>
      </c>
      <c r="B27" s="22">
        <f>'[1]YR91-93'!B28+'[1]YR94-96'!B28+'[1]YR97-99'!B27+'[1]YR00-02'!B27</f>
        <v>284000945</v>
      </c>
      <c r="C27" s="22">
        <f>'[1]YR91-93'!C28+'[1]YR94-96'!C28+'[1]YR97-99'!C27+'[1]YR00-02'!C27</f>
        <v>274055379.76</v>
      </c>
      <c r="D27" s="22">
        <f>'[1]YR91-93'!D28+'[1]YR94-96'!D28+'[1]YR97-99'!D27+'[1]YR00-02'!D27</f>
        <v>4273309.24</v>
      </c>
      <c r="E27" s="22">
        <f>'[1]YR91-93'!E28+'[1]YR94-96'!E28+'[1]YR97-99'!E27+'[1]YR00-02'!E27</f>
        <v>0</v>
      </c>
      <c r="F27" s="57">
        <f t="shared" si="0"/>
        <v>5672256.000000009</v>
      </c>
      <c r="G27" s="40"/>
    </row>
    <row r="28" spans="1:7" ht="18" customHeight="1">
      <c r="A28" s="59" t="s">
        <v>52</v>
      </c>
      <c r="B28" s="22">
        <f>'[1]YR91-93'!B30+'[1]YR94-96'!B29+'[1]YR97-99'!B28+'[1]YR00-02'!B28</f>
        <v>259728</v>
      </c>
      <c r="C28" s="22">
        <f>'[1]YR91-93'!C30+'[1]YR94-96'!C29+'[1]YR97-99'!C28+'[1]YR00-02'!C28</f>
        <v>259728</v>
      </c>
      <c r="D28" s="22">
        <f>'[1]YR91-93'!D30+'[1]YR94-96'!D29+'[1]YR97-99'!D28+'[1]YR00-02'!D28</f>
        <v>0</v>
      </c>
      <c r="E28" s="22">
        <f>'[1]YR91-93'!E30+'[1]YR94-96'!E29+'[1]YR97-99'!E28+'[1]YR00-02'!E28</f>
        <v>0</v>
      </c>
      <c r="F28" s="57">
        <f t="shared" si="0"/>
        <v>0</v>
      </c>
      <c r="G28" s="40"/>
    </row>
    <row r="29" spans="1:7" ht="18" customHeight="1">
      <c r="A29" s="59" t="s">
        <v>27</v>
      </c>
      <c r="B29" s="22">
        <f>'[1]YR91-93'!B31+'[1]YR94-96'!B30+'[1]YR97-99'!B29+'[1]YR00-02'!B29</f>
        <v>165631</v>
      </c>
      <c r="C29" s="22">
        <f>'[1]YR91-93'!C31+'[1]YR94-96'!C30+'[1]YR97-99'!C29+'[1]YR00-02'!C29</f>
        <v>165631</v>
      </c>
      <c r="D29" s="22">
        <f>'[1]YR91-93'!D31+'[1]YR94-96'!D30+'[1]YR97-99'!D29+'[1]YR00-02'!D29</f>
        <v>0</v>
      </c>
      <c r="E29" s="22">
        <f>'[1]YR91-93'!E31+'[1]YR94-96'!E30+'[1]YR97-99'!E29+'[1]YR00-02'!E29</f>
        <v>0</v>
      </c>
      <c r="F29" s="57">
        <f t="shared" si="0"/>
        <v>0</v>
      </c>
      <c r="G29" s="40"/>
    </row>
    <row r="30" spans="1:7" ht="18" customHeight="1">
      <c r="A30" s="59" t="s">
        <v>28</v>
      </c>
      <c r="B30" s="22">
        <f>'[1]YR91-93'!B32+'[1]YR94-96'!B31+'[1]YR97-99'!B30+'[1]YR00-02'!B30</f>
        <v>369857</v>
      </c>
      <c r="C30" s="22">
        <f>'[1]YR91-93'!C32+'[1]YR94-96'!C31+'[1]YR97-99'!C30+'[1]YR00-02'!C30</f>
        <v>55077.88</v>
      </c>
      <c r="D30" s="22">
        <f>'[1]YR91-93'!D32+'[1]YR94-96'!D31+'[1]YR97-99'!D30+'[1]YR00-02'!D30</f>
        <v>0</v>
      </c>
      <c r="E30" s="22">
        <f>'[1]YR91-93'!E32+'[1]YR94-96'!E31+'[1]YR97-99'!E30+'[1]YR00-02'!E30</f>
        <v>0</v>
      </c>
      <c r="F30" s="57">
        <f t="shared" si="0"/>
        <v>314779.12</v>
      </c>
      <c r="G30" s="40"/>
    </row>
    <row r="31" spans="1:7" ht="18" customHeight="1">
      <c r="A31" s="59" t="s">
        <v>29</v>
      </c>
      <c r="B31" s="22">
        <f>'[1]YR91-93'!B33+'[1]YR94-96'!B32+'[1]YR97-99'!B31+'[1]YR00-02'!B31</f>
        <v>1227109</v>
      </c>
      <c r="C31" s="22">
        <f>'[1]YR91-93'!C33+'[1]YR94-96'!C32+'[1]YR97-99'!C31+'[1]YR00-02'!C31</f>
        <v>1227109</v>
      </c>
      <c r="D31" s="22">
        <f>'[1]YR91-93'!D33+'[1]YR94-96'!D32+'[1]YR97-99'!D31+'[1]YR00-02'!D31</f>
        <v>0</v>
      </c>
      <c r="E31" s="22">
        <f>'[1]YR91-93'!E33+'[1]YR94-96'!E32+'[1]YR97-99'!E31+'[1]YR00-02'!E31</f>
        <v>0</v>
      </c>
      <c r="F31" s="57">
        <f t="shared" si="0"/>
        <v>0</v>
      </c>
      <c r="G31" s="40"/>
    </row>
    <row r="32" spans="1:7" ht="18" customHeight="1">
      <c r="A32" s="59" t="s">
        <v>30</v>
      </c>
      <c r="B32" s="22">
        <f>'[1]YR91-93'!B35+'[1]YR94-96'!B33+'[1]YR97-99'!B32+'[1]YR00-02'!B32</f>
        <v>135012</v>
      </c>
      <c r="C32" s="22">
        <f>'[1]YR91-93'!C35+'[1]YR94-96'!C33+'[1]YR97-99'!C32+'[1]YR00-02'!C32</f>
        <v>134992</v>
      </c>
      <c r="D32" s="22">
        <f>'[1]YR91-93'!D35+'[1]YR94-96'!D33+'[1]YR97-99'!D32+'[1]YR00-02'!D32</f>
        <v>0</v>
      </c>
      <c r="E32" s="22">
        <f>'[1]YR91-93'!E35+'[1]YR94-96'!E33+'[1]YR97-99'!E32+'[1]YR00-02'!E32</f>
        <v>0</v>
      </c>
      <c r="F32" s="57">
        <f t="shared" si="0"/>
        <v>20</v>
      </c>
      <c r="G32" s="40"/>
    </row>
    <row r="33" spans="1:7" ht="18" customHeight="1">
      <c r="A33" s="59" t="s">
        <v>31</v>
      </c>
      <c r="B33" s="22">
        <f>'[1]YR91-93'!B36+'[1]YR94-96'!B34+'[1]YR97-99'!B33+'[1]YR00-02'!B33</f>
        <v>29373104</v>
      </c>
      <c r="C33" s="22">
        <f>'[1]YR91-93'!C36+'[1]YR94-96'!C34+'[1]YR97-99'!C33+'[1]YR00-02'!C33</f>
        <v>29373104</v>
      </c>
      <c r="D33" s="22">
        <f>'[1]YR91-93'!D36+'[1]YR94-96'!D34+'[1]YR97-99'!D33+'[1]YR00-02'!D33</f>
        <v>0</v>
      </c>
      <c r="E33" s="22">
        <f>'[1]YR91-93'!E36+'[1]YR94-96'!E34+'[1]YR97-99'!E33+'[1]YR00-02'!E33</f>
        <v>0</v>
      </c>
      <c r="F33" s="57">
        <f t="shared" si="0"/>
        <v>0</v>
      </c>
      <c r="G33" s="40"/>
    </row>
    <row r="34" spans="1:7" ht="18" customHeight="1">
      <c r="A34" s="59" t="s">
        <v>32</v>
      </c>
      <c r="B34" s="22">
        <f>'[1]YR91-93'!B37+'[1]YR94-96'!B35+'[1]YR97-99'!B34+'[1]YR00-02'!B34</f>
        <v>4361998</v>
      </c>
      <c r="C34" s="22">
        <f>'[1]YR91-93'!C37+'[1]YR94-96'!C35+'[1]YR97-99'!C34+'[1]YR00-02'!C34</f>
        <v>4361997.6</v>
      </c>
      <c r="D34" s="22">
        <f>'[1]YR91-93'!D37+'[1]YR94-96'!D35+'[1]YR97-99'!D34+'[1]YR00-02'!D34</f>
        <v>0</v>
      </c>
      <c r="E34" s="22">
        <f>'[1]YR91-93'!E37+'[1]YR94-96'!E35+'[1]YR97-99'!E34+'[1]YR00-02'!E34</f>
        <v>0</v>
      </c>
      <c r="F34" s="57">
        <f t="shared" si="0"/>
        <v>0.40000000037252903</v>
      </c>
      <c r="G34" s="40"/>
    </row>
    <row r="35" spans="1:7" ht="18" customHeight="1">
      <c r="A35" s="59" t="s">
        <v>33</v>
      </c>
      <c r="B35" s="22">
        <f>'[1]YR91-93'!B38+'[1]YR94-96'!B36+'[1]YR97-99'!B35+'[1]YR00-02'!B35</f>
        <v>10589067</v>
      </c>
      <c r="C35" s="22">
        <f>'[1]YR91-93'!C38+'[1]YR94-96'!C36+'[1]YR97-99'!C35+'[1]YR00-02'!C35</f>
        <v>10589067</v>
      </c>
      <c r="D35" s="22">
        <f>'[1]YR91-93'!D38+'[1]YR94-96'!D36+'[1]YR97-99'!D35+'[1]YR00-02'!D35</f>
        <v>0</v>
      </c>
      <c r="E35" s="22">
        <f>'[1]YR91-93'!E38+'[1]YR94-96'!E36+'[1]YR97-99'!E35+'[1]YR00-02'!E35</f>
        <v>0</v>
      </c>
      <c r="F35" s="57">
        <f t="shared" si="0"/>
        <v>0</v>
      </c>
      <c r="G35" s="40"/>
    </row>
    <row r="36" spans="1:7" ht="18" customHeight="1">
      <c r="A36" s="59" t="s">
        <v>34</v>
      </c>
      <c r="B36" s="22">
        <f>'[1]YR91-93'!B39+'[1]YR94-96'!B38+'[1]YR97-99'!B36+'[1]YR00-02'!B36</f>
        <v>3375495</v>
      </c>
      <c r="C36" s="22">
        <f>'[1]YR91-93'!C39+'[1]YR94-96'!C38+'[1]YR97-99'!C36+'[1]YR00-02'!C36</f>
        <v>3262495</v>
      </c>
      <c r="D36" s="22">
        <f>'[1]YR91-93'!D39+'[1]YR94-96'!D38+'[1]YR97-99'!D36+'[1]YR00-02'!D36</f>
        <v>113000</v>
      </c>
      <c r="E36" s="22">
        <f>'[1]YR91-93'!E39+'[1]YR94-96'!E38+'[1]YR97-99'!E36+'[1]YR00-02'!E36</f>
        <v>0</v>
      </c>
      <c r="F36" s="57">
        <f t="shared" si="0"/>
        <v>0</v>
      </c>
      <c r="G36" s="40"/>
    </row>
    <row r="37" spans="1:7" ht="18" customHeight="1">
      <c r="A37" s="59" t="s">
        <v>35</v>
      </c>
      <c r="B37" s="22">
        <f>'[1]YR91-93'!B40+'[1]YR94-96'!B39+'[1]YR97-99'!B37+'[1]YR00-02'!B37</f>
        <v>5319539</v>
      </c>
      <c r="C37" s="22">
        <f>'[1]YR91-93'!C40+'[1]YR94-96'!C39+'[1]YR97-99'!C37+'[1]YR00-02'!C37</f>
        <v>5319539</v>
      </c>
      <c r="D37" s="22">
        <f>'[1]YR91-93'!D40+'[1]YR94-96'!D39+'[1]YR97-99'!D37+'[1]YR00-02'!D37</f>
        <v>0</v>
      </c>
      <c r="E37" s="22">
        <f>'[1]YR91-93'!E40+'[1]YR94-96'!E39+'[1]YR97-99'!E37+'[1]YR00-02'!E37</f>
        <v>0</v>
      </c>
      <c r="F37" s="57">
        <f t="shared" si="0"/>
        <v>0</v>
      </c>
      <c r="G37" s="40"/>
    </row>
    <row r="38" spans="1:7" ht="18" customHeight="1">
      <c r="A38" s="59" t="s">
        <v>36</v>
      </c>
      <c r="B38" s="22">
        <f>'[1]YR91-93'!B41+'[1]YR94-96'!B40+'[1]YR97-99'!B38+'[1]YR00-02'!B38</f>
        <v>86815700</v>
      </c>
      <c r="C38" s="22">
        <f>'[1]YR91-93'!C41+'[1]YR94-96'!C40+'[1]YR97-99'!C38+'[1]YR00-02'!C38</f>
        <v>0</v>
      </c>
      <c r="D38" s="22">
        <f>'[1]YR91-93'!D41+'[1]YR94-96'!D40+'[1]YR97-99'!D38+'[1]YR00-02'!D38</f>
        <v>0</v>
      </c>
      <c r="E38" s="22">
        <f>'[1]YR91-93'!E41+'[1]YR94-96'!E40+'[1]YR97-99'!E38+'[1]YR00-02'!E38</f>
        <v>0</v>
      </c>
      <c r="F38" s="57">
        <f t="shared" si="0"/>
        <v>86815700</v>
      </c>
      <c r="G38" s="40"/>
    </row>
    <row r="39" spans="1:7" ht="18" customHeight="1">
      <c r="A39" s="61" t="s">
        <v>96</v>
      </c>
      <c r="B39" s="22">
        <f>'[1]YR91-93'!B43+'[1]YR94-96'!B42+'[1]YR97-99'!B39+'[1]YR00-02'!B39</f>
        <v>1607114</v>
      </c>
      <c r="C39" s="22">
        <f>'[1]YR91-93'!C43+'[1]YR94-96'!C42+'[1]YR97-99'!C39+'[1]YR00-02'!C39</f>
        <v>1607114</v>
      </c>
      <c r="D39" s="22">
        <f>'[1]YR91-93'!D43+'[1]YR94-96'!D42+'[1]YR97-99'!D39+'[1]YR00-02'!D39</f>
        <v>0</v>
      </c>
      <c r="E39" s="22">
        <f>'[1]YR91-93'!E43+'[1]YR94-96'!E42+'[1]YR97-99'!E39+'[1]YR00-02'!E39</f>
        <v>0</v>
      </c>
      <c r="F39" s="57">
        <f t="shared" si="0"/>
        <v>0</v>
      </c>
      <c r="G39" s="40"/>
    </row>
    <row r="40" spans="1:7" ht="18" customHeight="1">
      <c r="A40" s="59" t="s">
        <v>56</v>
      </c>
      <c r="B40" s="22">
        <f>'[1]YR91-93'!B44+'[1]YR94-96'!B43+'[1]YR97-99'!B40+'[1]YR00-02'!B40</f>
        <v>61290</v>
      </c>
      <c r="C40" s="22">
        <f>'[1]YR91-93'!C44+'[1]YR94-96'!C43+'[1]YR97-99'!C40+'[1]YR00-02'!C40</f>
        <v>61290</v>
      </c>
      <c r="D40" s="22">
        <f>'[1]YR91-93'!D44+'[1]YR94-96'!D43+'[1]YR97-99'!D40+'[1]YR00-02'!D40</f>
        <v>0</v>
      </c>
      <c r="E40" s="22">
        <f>'[1]YR91-93'!E44+'[1]YR94-96'!E43+'[1]YR97-99'!E40+'[1]YR00-02'!E40</f>
        <v>0</v>
      </c>
      <c r="F40" s="57">
        <f t="shared" si="0"/>
        <v>0</v>
      </c>
      <c r="G40" s="40"/>
    </row>
    <row r="41" spans="1:7" ht="18" customHeight="1">
      <c r="A41" s="59" t="s">
        <v>38</v>
      </c>
      <c r="B41" s="22">
        <f>'[1]YR91-93'!B46+'[1]YR94-96'!B45+'[1]YR97-99'!B42+'[1]YR00-02'!B41</f>
        <v>42564730</v>
      </c>
      <c r="C41" s="22">
        <f>'[1]YR91-93'!C46+'[1]YR94-96'!C45+'[1]YR97-99'!C42+'[1]YR00-02'!C41</f>
        <v>42564730</v>
      </c>
      <c r="D41" s="22">
        <f>'[1]YR91-93'!D46+'[1]YR94-96'!D45+'[1]YR97-99'!D42+'[1]YR00-02'!D41</f>
        <v>0</v>
      </c>
      <c r="E41" s="22">
        <f>'[1]YR91-93'!E46+'[1]YR94-96'!E45+'[1]YR97-99'!E42+'[1]YR00-02'!E41</f>
        <v>0</v>
      </c>
      <c r="F41" s="57">
        <f t="shared" si="0"/>
        <v>0</v>
      </c>
      <c r="G41" s="40"/>
    </row>
    <row r="42" spans="1:7" ht="18" customHeight="1">
      <c r="A42" s="59" t="s">
        <v>39</v>
      </c>
      <c r="B42" s="22">
        <f>'[1]YR91-93'!B47+'[1]YR94-96'!B46+'[1]YR97-99'!B43+'[1]YR00-02'!B42</f>
        <v>21484793</v>
      </c>
      <c r="C42" s="22">
        <f>'[1]YR91-93'!C47+'[1]YR94-96'!C46+'[1]YR97-99'!C43+'[1]YR00-02'!C42</f>
        <v>20342277</v>
      </c>
      <c r="D42" s="22">
        <f>'[1]YR91-93'!D47+'[1]YR94-96'!D46+'[1]YR97-99'!D43+'[1]YR00-02'!D42</f>
        <v>1142516</v>
      </c>
      <c r="E42" s="22">
        <f>'[1]YR91-93'!E47+'[1]YR94-96'!E46+'[1]YR97-99'!E43+'[1]YR00-02'!E42</f>
        <v>0</v>
      </c>
      <c r="F42" s="57">
        <f t="shared" si="0"/>
        <v>0</v>
      </c>
      <c r="G42" s="40"/>
    </row>
    <row r="43" spans="1:7" ht="18" customHeight="1">
      <c r="A43" s="59" t="s">
        <v>40</v>
      </c>
      <c r="B43" s="22">
        <f>'[1]YR91-93'!B48+'[1]YR94-96'!B47+'[1]YR97-99'!B44+'[1]YR00-02'!B43</f>
        <v>21891244</v>
      </c>
      <c r="C43" s="22">
        <f>'[1]YR91-93'!C48+'[1]YR94-96'!C47+'[1]YR97-99'!C44+'[1]YR00-02'!C43</f>
        <v>21463514</v>
      </c>
      <c r="D43" s="22">
        <f>'[1]YR91-93'!D48+'[1]YR94-96'!D47+'[1]YR97-99'!D44+'[1]YR00-02'!D43</f>
        <v>427730</v>
      </c>
      <c r="E43" s="22">
        <f>'[1]YR91-93'!E48+'[1]YR94-96'!E47+'[1]YR97-99'!E44+'[1]YR00-02'!E43</f>
        <v>0</v>
      </c>
      <c r="F43" s="57">
        <f t="shared" si="0"/>
        <v>0</v>
      </c>
      <c r="G43" s="40"/>
    </row>
    <row r="44" spans="1:7" ht="18" customHeight="1">
      <c r="A44" s="59" t="s">
        <v>41</v>
      </c>
      <c r="B44" s="22">
        <f>'[1]YR91-93'!B49+'[1]YR94-96'!B48+'[1]YR97-99'!B45+'[1]YR00-02'!B44</f>
        <v>90871</v>
      </c>
      <c r="C44" s="22">
        <f>'[1]YR91-93'!C49+'[1]YR94-96'!C48+'[1]YR97-99'!C45+'[1]YR00-02'!C44</f>
        <v>8686</v>
      </c>
      <c r="D44" s="22">
        <f>'[1]YR91-93'!D49+'[1]YR94-96'!D48+'[1]YR97-99'!D45+'[1]YR00-02'!D44</f>
        <v>0</v>
      </c>
      <c r="E44" s="22">
        <f>'[1]YR91-93'!E49+'[1]YR94-96'!E48+'[1]YR97-99'!E45+'[1]YR00-02'!E44</f>
        <v>0</v>
      </c>
      <c r="F44" s="57">
        <f t="shared" si="0"/>
        <v>82185</v>
      </c>
      <c r="G44" s="40"/>
    </row>
    <row r="45" spans="1:7" ht="18" customHeight="1">
      <c r="A45" s="59" t="s">
        <v>42</v>
      </c>
      <c r="B45" s="22">
        <f>'[1]YR91-93'!B50+'[1]YR94-96'!B49+'[1]YR97-99'!B46+'[1]YR00-02'!B45</f>
        <v>275954</v>
      </c>
      <c r="C45" s="22">
        <f>'[1]YR91-93'!C50+'[1]YR94-96'!C49+'[1]YR97-99'!C46+'[1]YR00-02'!C45</f>
        <v>0</v>
      </c>
      <c r="D45" s="22">
        <f>'[1]YR91-93'!D50+'[1]YR94-96'!D49+'[1]YR97-99'!D46+'[1]YR00-02'!D45</f>
        <v>0</v>
      </c>
      <c r="E45" s="22">
        <f>'[1]YR91-93'!E50+'[1]YR94-96'!E49+'[1]YR97-99'!E46+'[1]YR00-02'!E45</f>
        <v>0</v>
      </c>
      <c r="F45" s="57">
        <f t="shared" si="0"/>
        <v>275954</v>
      </c>
      <c r="G45" s="40"/>
    </row>
    <row r="46" spans="1:7" ht="18" customHeight="1">
      <c r="A46" s="59" t="s">
        <v>43</v>
      </c>
      <c r="B46" s="22">
        <f>'[1]YR91-93'!B51+'[1]YR94-96'!B50+'[1]YR97-99'!B47+'[1]YR00-02'!B46</f>
        <v>8498183</v>
      </c>
      <c r="C46" s="22">
        <f>'[1]YR91-93'!C51+'[1]YR94-96'!C50+'[1]YR97-99'!C47+'[1]YR00-02'!C46</f>
        <v>915933.64</v>
      </c>
      <c r="D46" s="22">
        <f>'[1]YR91-93'!D51+'[1]YR94-96'!D50+'[1]YR97-99'!D47+'[1]YR00-02'!D46</f>
        <v>0</v>
      </c>
      <c r="E46" s="22">
        <f>'[1]YR91-93'!E51+'[1]YR94-96'!E50+'[1]YR97-99'!E47+'[1]YR00-02'!E46</f>
        <v>0</v>
      </c>
      <c r="F46" s="57">
        <f t="shared" si="0"/>
        <v>7582249.36</v>
      </c>
      <c r="G46" s="40"/>
    </row>
    <row r="47" spans="1:7" ht="18" customHeight="1">
      <c r="A47" s="59" t="s">
        <v>44</v>
      </c>
      <c r="B47" s="22">
        <f>'[1]YR91-93'!B53+'[1]YR94-96'!B51+'[1]YR97-99'!B48+'[1]YR00-02'!B47</f>
        <v>94971418</v>
      </c>
      <c r="C47" s="22">
        <f>'[1]YR91-93'!C53+'[1]YR94-96'!C51+'[1]YR97-99'!C48+'[1]YR00-02'!C47</f>
        <v>94406418</v>
      </c>
      <c r="D47" s="22">
        <f>'[1]YR91-93'!D53+'[1]YR94-96'!D51+'[1]YR97-99'!D48+'[1]YR00-02'!D47</f>
        <v>565000</v>
      </c>
      <c r="E47" s="22">
        <f>'[1]YR91-93'!E53+'[1]YR94-96'!E51+'[1]YR97-99'!E48+'[1]YR00-02'!E47</f>
        <v>0</v>
      </c>
      <c r="F47" s="57">
        <f t="shared" si="0"/>
        <v>0</v>
      </c>
      <c r="G47" s="40"/>
    </row>
    <row r="48" spans="1:7" ht="18" customHeight="1">
      <c r="A48" s="59" t="s">
        <v>45</v>
      </c>
      <c r="B48" s="22">
        <f>'[1]YR91-93'!B54+'[1]YR94-96'!B52+'[1]YR97-99'!B49+'[1]YR00-02'!B48</f>
        <v>400251570</v>
      </c>
      <c r="C48" s="22">
        <f>'[1]YR91-93'!C54+'[1]YR94-96'!C52+'[1]YR97-99'!C49+'[1]YR00-02'!C48</f>
        <v>389434379</v>
      </c>
      <c r="D48" s="22">
        <f>'[1]YR91-93'!D54+'[1]YR94-96'!D52+'[1]YR97-99'!D49+'[1]YR00-02'!D48</f>
        <v>10817191</v>
      </c>
      <c r="E48" s="22">
        <f>'[1]YR91-93'!E54+'[1]YR94-96'!E52+'[1]YR97-99'!E49+'[1]YR00-02'!E48</f>
        <v>0</v>
      </c>
      <c r="F48" s="57">
        <f t="shared" si="0"/>
        <v>0</v>
      </c>
      <c r="G48" s="40"/>
    </row>
    <row r="49" spans="1:7" ht="18" customHeight="1" thickBot="1">
      <c r="A49" s="62" t="s">
        <v>46</v>
      </c>
      <c r="B49" s="55">
        <f>'[1]YR91-93'!B55+'[1]YR94-96'!B53+'[1]YR97-99'!B50+'[1]YR00-02'!B49</f>
        <v>518174</v>
      </c>
      <c r="C49" s="55">
        <f>'[1]YR91-93'!C55+'[1]YR94-96'!C53+'[1]YR97-99'!C50+'[1]YR00-02'!C49</f>
        <v>167473</v>
      </c>
      <c r="D49" s="55">
        <f>'[1]YR91-93'!D55+'[1]YR94-96'!D53+'[1]YR97-99'!D50+'[1]YR00-02'!D49</f>
        <v>0</v>
      </c>
      <c r="E49" s="55">
        <f>'[1]YR91-93'!E55+'[1]YR94-96'!E53+'[1]YR97-99'!E50+'[1]YR00-02'!E49</f>
        <v>0</v>
      </c>
      <c r="F49" s="58">
        <f t="shared" si="0"/>
        <v>350701</v>
      </c>
      <c r="G49" s="40"/>
    </row>
    <row r="50" spans="1:7" ht="19.5" customHeight="1" thickBot="1">
      <c r="A50" s="63" t="s">
        <v>59</v>
      </c>
      <c r="B50" s="16">
        <f>SUM(B8:B49)</f>
        <v>1566972861</v>
      </c>
      <c r="C50" s="16">
        <f>SUM(C8:C49)</f>
        <v>1401053258.5</v>
      </c>
      <c r="D50" s="16">
        <f>SUM(D8:D49)</f>
        <v>60850108.2</v>
      </c>
      <c r="E50" s="16">
        <f>SUM(E8:E49)</f>
        <v>0</v>
      </c>
      <c r="F50" s="35">
        <f>SUM(F8:F49)</f>
        <v>105069494.30000003</v>
      </c>
      <c r="G50" s="41"/>
    </row>
    <row r="51" spans="1:7" ht="18" customHeight="1" thickBot="1">
      <c r="A51" s="64" t="s">
        <v>66</v>
      </c>
      <c r="B51" s="36">
        <f>'[1]YR94-96'!B55</f>
        <v>8098267</v>
      </c>
      <c r="C51" s="36">
        <f>'[1]YR94-96'!C55</f>
        <v>0</v>
      </c>
      <c r="D51" s="36">
        <f>'[1]YR94-96'!D55</f>
        <v>0</v>
      </c>
      <c r="E51" s="36">
        <f>'[1]YR94-96'!E55</f>
        <v>0</v>
      </c>
      <c r="F51" s="15">
        <f t="shared" si="0"/>
        <v>8098267</v>
      </c>
      <c r="G51" s="41"/>
    </row>
    <row r="52" spans="1:7" ht="19.5" customHeight="1" thickBot="1">
      <c r="A52" s="65" t="s">
        <v>2</v>
      </c>
      <c r="B52" s="37">
        <f>B50+B51</f>
        <v>1575071128</v>
      </c>
      <c r="C52" s="37">
        <f>C50+C51</f>
        <v>1401053258.5</v>
      </c>
      <c r="D52" s="37">
        <f>D50+D51</f>
        <v>60850108.2</v>
      </c>
      <c r="E52" s="37">
        <f>E50+E51</f>
        <v>0</v>
      </c>
      <c r="F52" s="38">
        <f>F50+F51</f>
        <v>113167761.30000003</v>
      </c>
      <c r="G52" s="41"/>
    </row>
    <row r="53" spans="1:7" ht="18" customHeight="1">
      <c r="A53" s="44"/>
      <c r="B53" s="45"/>
      <c r="C53" s="45"/>
      <c r="D53" s="45"/>
      <c r="E53" s="45"/>
      <c r="F53" s="45"/>
      <c r="G53" s="41"/>
    </row>
    <row r="54" spans="1:7" ht="18" customHeight="1">
      <c r="A54" s="311" t="s">
        <v>73</v>
      </c>
      <c r="B54" s="312"/>
      <c r="C54" s="312"/>
      <c r="D54" s="312"/>
      <c r="E54" s="313"/>
      <c r="F54" s="313"/>
      <c r="G54" s="41"/>
    </row>
    <row r="55" spans="1:7" ht="15.75">
      <c r="A55" s="310"/>
      <c r="B55" s="310"/>
      <c r="C55" s="310"/>
      <c r="D55" s="310"/>
      <c r="E55" s="310"/>
      <c r="F55" s="310"/>
      <c r="G55" s="41"/>
    </row>
    <row r="56" ht="15.75"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211">
    <pageSetUpPr fitToPage="1"/>
  </sheetPr>
  <dimension ref="A1:G57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5" t="str">
        <f>status!$C$1</f>
        <v>UNEP/OzL.Pro/ExCom/57/L.1</v>
      </c>
      <c r="B1" s="47"/>
    </row>
    <row r="2" spans="1:2" ht="15.75" customHeight="1">
      <c r="A2" s="5" t="s">
        <v>103</v>
      </c>
      <c r="B2" s="5"/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116</v>
      </c>
      <c r="B5" s="6"/>
      <c r="C5" s="8"/>
      <c r="D5" s="8"/>
      <c r="E5" s="6"/>
      <c r="F5" s="6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  <c r="G7" s="40"/>
    </row>
    <row r="8" spans="1:7" ht="18" customHeight="1">
      <c r="A8" s="56" t="s">
        <v>10</v>
      </c>
      <c r="B8" s="21">
        <v>2482261</v>
      </c>
      <c r="C8" s="21">
        <f>1940246+288692</f>
        <v>2228938</v>
      </c>
      <c r="D8" s="21">
        <v>184023</v>
      </c>
      <c r="E8" s="21">
        <v>0</v>
      </c>
      <c r="F8" s="52">
        <f aca="true" t="shared" si="0" ref="F8:F34">B8-C8-D8-E8</f>
        <v>69300</v>
      </c>
      <c r="G8" s="41"/>
    </row>
    <row r="9" spans="1:7" ht="18" customHeight="1">
      <c r="A9" s="59" t="s">
        <v>11</v>
      </c>
      <c r="B9" s="14">
        <v>1576118</v>
      </c>
      <c r="C9" s="14">
        <f>1437101+139017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12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13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14</v>
      </c>
      <c r="B12" s="14">
        <v>1847459</v>
      </c>
      <c r="C12" s="14">
        <f>1710909+136550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48</v>
      </c>
      <c r="B13" s="14">
        <v>31824</v>
      </c>
      <c r="C13" s="14">
        <f>31824</f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92</v>
      </c>
      <c r="B14" s="14">
        <v>4612784</v>
      </c>
      <c r="C14" s="14">
        <f>613066+3690228-828765</f>
        <v>3474529</v>
      </c>
      <c r="D14" s="14">
        <v>1138255</v>
      </c>
      <c r="E14" s="14">
        <f>3690228-3619394-70834</f>
        <v>0</v>
      </c>
      <c r="F14" s="43">
        <f t="shared" si="0"/>
        <v>0</v>
      </c>
      <c r="G14" s="41"/>
    </row>
    <row r="15" spans="1:7" ht="18" customHeight="1">
      <c r="A15" s="59" t="s">
        <v>16</v>
      </c>
      <c r="B15" s="14">
        <v>202668</v>
      </c>
      <c r="C15" s="14">
        <f>202668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17</v>
      </c>
      <c r="B16" s="14">
        <v>1157383</v>
      </c>
      <c r="C16" s="14">
        <f>1157383</f>
        <v>1157383</v>
      </c>
      <c r="D16" s="14">
        <v>0</v>
      </c>
      <c r="E16" s="14">
        <v>0</v>
      </c>
      <c r="F16" s="43">
        <f t="shared" si="0"/>
        <v>0</v>
      </c>
      <c r="G16" s="41"/>
    </row>
    <row r="17" spans="1:7" ht="18" customHeight="1">
      <c r="A17" s="59" t="s">
        <v>62</v>
      </c>
      <c r="B17" s="14">
        <v>25124</v>
      </c>
      <c r="C17" s="14">
        <f>12735+12389</f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18</v>
      </c>
      <c r="B18" s="14">
        <v>907817</v>
      </c>
      <c r="C18" s="14">
        <f>840494+67323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19</v>
      </c>
      <c r="B19" s="14">
        <v>10954107</v>
      </c>
      <c r="C19" s="14">
        <f>9922239-116111</f>
        <v>9806128</v>
      </c>
      <c r="D19" s="14">
        <f>1187874</f>
        <v>1187874</v>
      </c>
      <c r="E19" s="14">
        <f>9922239-116111-9806128</f>
        <v>0</v>
      </c>
      <c r="F19" s="43">
        <f t="shared" si="0"/>
        <v>-39895</v>
      </c>
      <c r="G19" s="41"/>
    </row>
    <row r="20" spans="1:7" ht="18" customHeight="1">
      <c r="A20" s="59" t="s">
        <v>20</v>
      </c>
      <c r="B20" s="14">
        <v>16427810</v>
      </c>
      <c r="C20" s="14">
        <f>547595+3833156-3+1095187.69+1095187.31</f>
        <v>6571123</v>
      </c>
      <c r="D20" s="14">
        <f>9856687</f>
        <v>9856687</v>
      </c>
      <c r="E20" s="14">
        <f>5662119-3471744-1095187.69-1095187.31</f>
        <v>0</v>
      </c>
      <c r="F20" s="43">
        <f t="shared" si="0"/>
        <v>0</v>
      </c>
      <c r="G20" s="41"/>
    </row>
    <row r="21" spans="1:7" ht="18" customHeight="1">
      <c r="A21" s="59" t="s">
        <v>21</v>
      </c>
      <c r="B21" s="14">
        <v>587904</v>
      </c>
      <c r="C21" s="14">
        <f>206840.61+431434.68</f>
        <v>638275.29</v>
      </c>
      <c r="D21" s="14">
        <v>0</v>
      </c>
      <c r="E21" s="14">
        <v>0</v>
      </c>
      <c r="F21" s="43">
        <f t="shared" si="0"/>
        <v>-50371.29000000004</v>
      </c>
      <c r="G21" s="41"/>
    </row>
    <row r="22" spans="1:7" ht="18" customHeight="1">
      <c r="A22" s="59" t="s">
        <v>22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23</v>
      </c>
      <c r="B23" s="14">
        <v>53598</v>
      </c>
      <c r="C23" s="14">
        <f>42916+10682</f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24</v>
      </c>
      <c r="B24" s="14">
        <v>375186</v>
      </c>
      <c r="C24" s="14">
        <f>307709+67477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25</v>
      </c>
      <c r="B25" s="14">
        <v>577854</v>
      </c>
      <c r="C25" s="14">
        <v>0</v>
      </c>
      <c r="D25" s="14">
        <f>108130-70024</f>
        <v>38106</v>
      </c>
      <c r="E25" s="14">
        <v>0</v>
      </c>
      <c r="F25" s="43">
        <f t="shared" si="0"/>
        <v>539748</v>
      </c>
      <c r="G25" s="41"/>
    </row>
    <row r="26" spans="1:7" ht="18" customHeight="1">
      <c r="A26" s="59" t="s">
        <v>26</v>
      </c>
      <c r="B26" s="14">
        <v>9098273</v>
      </c>
      <c r="C26" s="14">
        <f>6546820+466979+134474</f>
        <v>7148273</v>
      </c>
      <c r="D26" s="14">
        <f>1950000</f>
        <v>1950000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64</v>
      </c>
      <c r="B27" s="14">
        <v>33471998</v>
      </c>
      <c r="C27" s="14">
        <f>33471998-(294247+218090)</f>
        <v>32959661</v>
      </c>
      <c r="D27" s="14">
        <f>294247+218090</f>
        <v>512337</v>
      </c>
      <c r="E27" s="14">
        <v>0</v>
      </c>
      <c r="F27" s="43">
        <f t="shared" si="0"/>
        <v>0</v>
      </c>
      <c r="G27" s="41"/>
    </row>
    <row r="28" spans="1:7" ht="18" customHeight="1">
      <c r="A28" s="59" t="s">
        <v>52</v>
      </c>
      <c r="B28" s="14">
        <v>40199</v>
      </c>
      <c r="C28" s="14">
        <f>5996+34203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27</v>
      </c>
      <c r="B29" s="14">
        <v>10050</v>
      </c>
      <c r="C29" s="14">
        <f>10050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28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29</v>
      </c>
      <c r="B31" s="14">
        <v>113896</v>
      </c>
      <c r="C31" s="14">
        <f>100531+13365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30</v>
      </c>
      <c r="B32" s="14">
        <v>6700</v>
      </c>
      <c r="C32" s="14">
        <v>6680</v>
      </c>
      <c r="D32" s="14">
        <v>0</v>
      </c>
      <c r="E32" s="14">
        <v>0</v>
      </c>
      <c r="F32" s="43">
        <f t="shared" si="0"/>
        <v>20</v>
      </c>
      <c r="G32" s="41"/>
    </row>
    <row r="33" spans="1:7" ht="18" customHeight="1">
      <c r="A33" s="59" t="s">
        <v>31</v>
      </c>
      <c r="B33" s="14">
        <v>2731827</v>
      </c>
      <c r="C33" s="14">
        <f>2731827</f>
        <v>2731827</v>
      </c>
      <c r="D33" s="14">
        <v>0</v>
      </c>
      <c r="E33" s="14">
        <f>0</f>
        <v>0</v>
      </c>
      <c r="F33" s="43">
        <f t="shared" si="0"/>
        <v>0</v>
      </c>
      <c r="G33" s="41"/>
    </row>
    <row r="34" spans="1:7" ht="18" customHeight="1">
      <c r="A34" s="59" t="s">
        <v>32</v>
      </c>
      <c r="B34" s="14">
        <v>370162</v>
      </c>
      <c r="C34" s="14">
        <f>370162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33</v>
      </c>
      <c r="B35" s="14">
        <v>1021713</v>
      </c>
      <c r="C35" s="14">
        <f>1130258-108545</f>
        <v>1021713</v>
      </c>
      <c r="D35" s="14">
        <v>0</v>
      </c>
      <c r="E35" s="14">
        <v>0</v>
      </c>
      <c r="F35" s="43">
        <f aca="true" t="shared" si="1" ref="F35:F49">B35-C35-D35-E35</f>
        <v>0</v>
      </c>
      <c r="G35" s="41"/>
    </row>
    <row r="36" spans="1:7" ht="18" customHeight="1">
      <c r="A36" s="59" t="s">
        <v>34</v>
      </c>
      <c r="B36" s="14">
        <v>346712</v>
      </c>
      <c r="C36" s="14">
        <v>346712</v>
      </c>
      <c r="D36" s="14">
        <v>0</v>
      </c>
      <c r="E36" s="14">
        <v>0</v>
      </c>
      <c r="F36" s="43">
        <f t="shared" si="1"/>
        <v>0</v>
      </c>
      <c r="G36" s="41"/>
    </row>
    <row r="37" spans="1:7" ht="18" customHeight="1">
      <c r="A37" s="59" t="s">
        <v>35</v>
      </c>
      <c r="B37" s="14">
        <v>698450</v>
      </c>
      <c r="C37" s="14">
        <f>295744.68+63313.27+339392.05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36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96</v>
      </c>
      <c r="B39" s="14">
        <v>65323</v>
      </c>
      <c r="C39" s="14"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56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38</v>
      </c>
      <c r="B41" s="14">
        <v>4336419</v>
      </c>
      <c r="C41" s="14">
        <f>4336419</f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91</v>
      </c>
      <c r="B42" s="14">
        <v>1815635</v>
      </c>
      <c r="C42" s="72">
        <f>1165014+287559-43604</f>
        <v>1408969</v>
      </c>
      <c r="D42" s="72">
        <f>16950+163716+226000</f>
        <v>406666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40</v>
      </c>
      <c r="B43" s="14">
        <v>2035052</v>
      </c>
      <c r="C43" s="14">
        <f>((125285)+(15034))+((1890699)+(4034))</f>
        <v>2035052</v>
      </c>
      <c r="D43" s="14">
        <v>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41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42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43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44</v>
      </c>
      <c r="B47" s="14">
        <v>8525444</v>
      </c>
      <c r="C47" s="14">
        <f>7420453+1104991</f>
        <v>8525444</v>
      </c>
      <c r="D47" s="14">
        <v>0</v>
      </c>
      <c r="E47" s="14">
        <f>8390119+135325-7420453-1104991</f>
        <v>0</v>
      </c>
      <c r="F47" s="43">
        <f t="shared" si="1"/>
        <v>0</v>
      </c>
      <c r="G47" s="41"/>
    </row>
    <row r="48" spans="1:7" ht="18" customHeight="1">
      <c r="A48" s="59" t="s">
        <v>45</v>
      </c>
      <c r="B48" s="14">
        <v>36666667</v>
      </c>
      <c r="C48" s="14">
        <f>28666667+5000000-2000000+3000000+2000000</f>
        <v>36666667</v>
      </c>
      <c r="D48" s="14">
        <v>0</v>
      </c>
      <c r="E48" s="14">
        <f>8000000-3000000-3000000-2000000</f>
        <v>0</v>
      </c>
      <c r="F48" s="43">
        <f t="shared" si="1"/>
        <v>0</v>
      </c>
      <c r="G48" s="41"/>
    </row>
    <row r="49" spans="1:7" ht="18" customHeight="1" thickBot="1">
      <c r="A49" s="62" t="s">
        <v>46</v>
      </c>
      <c r="B49" s="14">
        <v>61973</v>
      </c>
      <c r="C49" s="14">
        <v>0</v>
      </c>
      <c r="D49" s="14">
        <v>0</v>
      </c>
      <c r="E49" s="14">
        <v>0</v>
      </c>
      <c r="F49" s="53">
        <f t="shared" si="1"/>
        <v>61973</v>
      </c>
      <c r="G49" s="41"/>
    </row>
    <row r="50" spans="1:7" ht="19.5" customHeight="1" thickBot="1">
      <c r="A50" s="65" t="s">
        <v>2</v>
      </c>
      <c r="B50" s="54">
        <f>SUM(B8:B49)</f>
        <v>146666667</v>
      </c>
      <c r="C50" s="54">
        <f>SUM(C8:C49)</f>
        <v>127582660.28999999</v>
      </c>
      <c r="D50" s="54">
        <f>SUM(D8:D49)</f>
        <v>15273948</v>
      </c>
      <c r="E50" s="54">
        <f>SUM(E8:E49)</f>
        <v>0</v>
      </c>
      <c r="F50" s="19">
        <f>SUM(F8:F49)</f>
        <v>3810058.71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67</v>
      </c>
      <c r="B56" s="49">
        <f>B10+B11+B13+B15+B17+B22+B28+B30+B36+B38+B39+B40+B44+B45+B46+B49</f>
        <v>4204100</v>
      </c>
      <c r="C56" s="49">
        <f>C10+C11+C13+C15+C17+C22+C28+C30+C36+C38+C39+C40+C44+C45+C46+C49</f>
        <v>912843</v>
      </c>
      <c r="D56" s="49">
        <f>D10+D11+D13+D15+D17+D22+D28+D30+D36+D38+D39+D40+D44+D45+D46+D49</f>
        <v>0</v>
      </c>
      <c r="E56" s="49">
        <f>E10+E11+E13+E15+E17+E22+E28+E30+E36+E38+E39+E40+E44+E45+E46+E49</f>
        <v>0</v>
      </c>
      <c r="F56" s="50">
        <f>B56-C56-D56-E56</f>
        <v>3291257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21">
    <pageSetUpPr fitToPage="1"/>
  </sheetPr>
  <dimension ref="A1:G57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104</v>
      </c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117</v>
      </c>
      <c r="B5" s="6"/>
      <c r="C5" s="8"/>
      <c r="D5" s="8"/>
      <c r="E5" s="6"/>
      <c r="F5" s="6"/>
    </row>
    <row r="6" spans="1:7" ht="30" customHeight="1" thickBot="1">
      <c r="A6" s="51" t="str">
        <f>+status!A8</f>
        <v>Al 27 de marzo de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  <c r="G7" s="40"/>
    </row>
    <row r="8" spans="1:7" ht="18" customHeight="1">
      <c r="A8" s="56" t="s">
        <v>10</v>
      </c>
      <c r="B8" s="21">
        <v>2482261</v>
      </c>
      <c r="C8" s="71">
        <f>(460687.78+7589+1198533.17+299694.38)+(26626.86+525.74+291846.06+68900.75)</f>
        <v>2354403.74</v>
      </c>
      <c r="D8" s="21">
        <f>127857</f>
        <v>127857</v>
      </c>
      <c r="E8" s="21">
        <v>0</v>
      </c>
      <c r="F8" s="52">
        <f aca="true" t="shared" si="0" ref="F8:F34">B8-C8-D8-E8</f>
        <v>0.2599999997764826</v>
      </c>
      <c r="G8" s="41"/>
    </row>
    <row r="9" spans="1:7" ht="18" customHeight="1">
      <c r="A9" s="59" t="s">
        <v>11</v>
      </c>
      <c r="B9" s="14">
        <v>1576118</v>
      </c>
      <c r="C9" s="14">
        <f>1344465+231653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12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13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14</v>
      </c>
      <c r="B12" s="14">
        <v>1847459</v>
      </c>
      <c r="C12" s="14">
        <f>1527915+319544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48</v>
      </c>
      <c r="B13" s="14">
        <v>31824</v>
      </c>
      <c r="C13" s="14">
        <f>31824</f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15</v>
      </c>
      <c r="B14" s="14">
        <v>4612784</v>
      </c>
      <c r="C14" s="14">
        <v>4218583</v>
      </c>
      <c r="D14" s="14">
        <v>394201</v>
      </c>
      <c r="E14" s="14">
        <v>0</v>
      </c>
      <c r="F14" s="43">
        <f t="shared" si="0"/>
        <v>0</v>
      </c>
      <c r="G14" s="41"/>
    </row>
    <row r="15" spans="1:7" ht="18" customHeight="1">
      <c r="A15" s="59" t="s">
        <v>16</v>
      </c>
      <c r="B15" s="14">
        <v>202668</v>
      </c>
      <c r="C15" s="14">
        <f>177050+25618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17</v>
      </c>
      <c r="B16" s="14">
        <v>1157383</v>
      </c>
      <c r="C16" s="14">
        <f>926551+230832</f>
        <v>1157383</v>
      </c>
      <c r="D16" s="14">
        <v>0</v>
      </c>
      <c r="E16" s="14">
        <v>0</v>
      </c>
      <c r="F16" s="43">
        <f t="shared" si="0"/>
        <v>0</v>
      </c>
      <c r="G16" s="41"/>
    </row>
    <row r="17" spans="1:7" ht="18" customHeight="1">
      <c r="A17" s="59" t="s">
        <v>62</v>
      </c>
      <c r="B17" s="14">
        <v>25124</v>
      </c>
      <c r="C17" s="14">
        <f>25124</f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18</v>
      </c>
      <c r="B18" s="14">
        <v>907817</v>
      </c>
      <c r="C18" s="14">
        <f>766321+141496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19</v>
      </c>
      <c r="B19" s="14">
        <v>10954107</v>
      </c>
      <c r="C19" s="14">
        <v>10392435</v>
      </c>
      <c r="D19" s="14">
        <v>561672</v>
      </c>
      <c r="E19" s="14">
        <f>10392435-10392435</f>
        <v>0</v>
      </c>
      <c r="F19" s="43">
        <f t="shared" si="0"/>
        <v>0</v>
      </c>
      <c r="G19" s="41"/>
    </row>
    <row r="20" spans="1:7" ht="18" customHeight="1">
      <c r="A20" s="59" t="s">
        <v>20</v>
      </c>
      <c r="B20" s="14">
        <v>16427810</v>
      </c>
      <c r="C20" s="14">
        <v>16427810</v>
      </c>
      <c r="D20" s="14">
        <v>0</v>
      </c>
      <c r="E20" s="14">
        <f>16427810-3821310-6645064-7127474+1166038</f>
        <v>0</v>
      </c>
      <c r="F20" s="43">
        <f>B20-C20-D20-E20</f>
        <v>0</v>
      </c>
      <c r="G20" s="41"/>
    </row>
    <row r="21" spans="1:7" ht="18" customHeight="1">
      <c r="A21" s="59" t="s">
        <v>21</v>
      </c>
      <c r="B21" s="14">
        <v>587904</v>
      </c>
      <c r="C21" s="14">
        <f>528756+19458+39690</f>
        <v>587904</v>
      </c>
      <c r="D21" s="14">
        <v>0</v>
      </c>
      <c r="E21" s="14">
        <v>0</v>
      </c>
      <c r="F21" s="43">
        <f t="shared" si="0"/>
        <v>0</v>
      </c>
      <c r="G21" s="41"/>
    </row>
    <row r="22" spans="1:7" ht="18" customHeight="1">
      <c r="A22" s="59" t="s">
        <v>22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23</v>
      </c>
      <c r="B23" s="14">
        <v>53598</v>
      </c>
      <c r="C23" s="14">
        <f>33594+20004</f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24</v>
      </c>
      <c r="B24" s="14">
        <v>375186</v>
      </c>
      <c r="C24" s="14">
        <f>307204+67982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25</v>
      </c>
      <c r="B25" s="14">
        <v>577854</v>
      </c>
      <c r="C25" s="14">
        <v>0</v>
      </c>
      <c r="D25" s="14">
        <v>0</v>
      </c>
      <c r="E25" s="14">
        <v>0</v>
      </c>
      <c r="F25" s="43">
        <f t="shared" si="0"/>
        <v>577854</v>
      </c>
      <c r="G25" s="41"/>
    </row>
    <row r="26" spans="1:7" ht="18" customHeight="1">
      <c r="A26" s="59" t="s">
        <v>26</v>
      </c>
      <c r="B26" s="14">
        <v>9098273</v>
      </c>
      <c r="C26" s="14">
        <f>(5874936+1403682)+(247189+17632)+1982.73+1660.31</f>
        <v>7547082.04</v>
      </c>
      <c r="D26" s="14">
        <f>1414794+140040-1982.73-1660.31</f>
        <v>1551190.96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64</v>
      </c>
      <c r="B27" s="14">
        <v>33471998</v>
      </c>
      <c r="C27" s="14">
        <f>33304193-84750</f>
        <v>33219443</v>
      </c>
      <c r="D27" s="14">
        <f>148500+19305+(75000*1.13)</f>
        <v>252555</v>
      </c>
      <c r="E27" s="14">
        <v>0</v>
      </c>
      <c r="F27" s="43">
        <f t="shared" si="0"/>
        <v>0</v>
      </c>
      <c r="G27" s="41"/>
    </row>
    <row r="28" spans="1:7" ht="18" customHeight="1">
      <c r="A28" s="59" t="s">
        <v>52</v>
      </c>
      <c r="B28" s="14">
        <v>40199</v>
      </c>
      <c r="C28" s="14">
        <f>6495+33704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27</v>
      </c>
      <c r="B29" s="14">
        <v>10050</v>
      </c>
      <c r="C29" s="14">
        <f>10050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28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29</v>
      </c>
      <c r="B31" s="14">
        <v>113896</v>
      </c>
      <c r="C31" s="14">
        <f>92844+21052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30</v>
      </c>
      <c r="B32" s="14">
        <v>6700</v>
      </c>
      <c r="C32" s="14">
        <f>6700</f>
        <v>6700</v>
      </c>
      <c r="D32" s="14">
        <v>0</v>
      </c>
      <c r="E32" s="14">
        <v>0</v>
      </c>
      <c r="F32" s="43">
        <f t="shared" si="0"/>
        <v>0</v>
      </c>
      <c r="G32" s="41"/>
    </row>
    <row r="33" spans="1:7" ht="18" customHeight="1">
      <c r="A33" s="59" t="s">
        <v>31</v>
      </c>
      <c r="B33" s="14">
        <v>2731827</v>
      </c>
      <c r="C33" s="14">
        <f>2731827</f>
        <v>2731827</v>
      </c>
      <c r="D33" s="14">
        <v>0</v>
      </c>
      <c r="E33" s="14">
        <v>0</v>
      </c>
      <c r="F33" s="43">
        <f t="shared" si="0"/>
        <v>0</v>
      </c>
      <c r="G33" s="41"/>
    </row>
    <row r="34" spans="1:7" ht="18" customHeight="1">
      <c r="A34" s="59" t="s">
        <v>32</v>
      </c>
      <c r="B34" s="14">
        <v>370162</v>
      </c>
      <c r="C34" s="14">
        <f>(57219+289678)+(8288+14977)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33</v>
      </c>
      <c r="B35" s="14">
        <v>1021713</v>
      </c>
      <c r="C35" s="14">
        <f>878286+143427</f>
        <v>1021713</v>
      </c>
      <c r="D35" s="14">
        <v>0</v>
      </c>
      <c r="E35" s="14">
        <v>0</v>
      </c>
      <c r="F35" s="43">
        <f aca="true" t="shared" si="1" ref="F35:F49">B35-C35-D35-E35</f>
        <v>0</v>
      </c>
      <c r="G35" s="41"/>
    </row>
    <row r="36" spans="1:7" ht="18" customHeight="1">
      <c r="A36" s="59" t="s">
        <v>34</v>
      </c>
      <c r="B36" s="14">
        <v>346712</v>
      </c>
      <c r="C36" s="14">
        <f>74930+158782</f>
        <v>233712</v>
      </c>
      <c r="D36" s="14">
        <f>100000+13000</f>
        <v>113000</v>
      </c>
      <c r="E36" s="14">
        <v>0</v>
      </c>
      <c r="F36" s="43">
        <f t="shared" si="1"/>
        <v>0</v>
      </c>
      <c r="G36" s="41"/>
    </row>
    <row r="37" spans="1:7" ht="18" customHeight="1">
      <c r="A37" s="59" t="s">
        <v>35</v>
      </c>
      <c r="B37" s="14">
        <v>698450</v>
      </c>
      <c r="C37" s="14">
        <f>(549077+113496)+(29343+6534)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36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96</v>
      </c>
      <c r="B39" s="14">
        <v>65323</v>
      </c>
      <c r="C39" s="14">
        <f>65323</f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56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38</v>
      </c>
      <c r="B41" s="14">
        <v>4336419</v>
      </c>
      <c r="C41" s="14">
        <f>4336419</f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91</v>
      </c>
      <c r="B42" s="14">
        <v>1815635</v>
      </c>
      <c r="C42" s="14">
        <f>1173786+278787+58062</f>
        <v>1510635</v>
      </c>
      <c r="D42" s="14">
        <f>305000+0</f>
        <v>305000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40</v>
      </c>
      <c r="B43" s="14">
        <v>2035052</v>
      </c>
      <c r="C43" s="14">
        <f>(69828+1746976)+(10172+136846)</f>
        <v>1963822</v>
      </c>
      <c r="D43" s="14">
        <f>71230</f>
        <v>71230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41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42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43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44</v>
      </c>
      <c r="B47" s="14">
        <v>8525444</v>
      </c>
      <c r="C47" s="14">
        <f>1247708+1393507+173200+27401+5683628</f>
        <v>8525444</v>
      </c>
      <c r="D47" s="14">
        <v>0</v>
      </c>
      <c r="E47" s="14">
        <f>5593411+90217-5683628</f>
        <v>0</v>
      </c>
      <c r="F47" s="43">
        <f t="shared" si="1"/>
        <v>0</v>
      </c>
      <c r="G47" s="41"/>
    </row>
    <row r="48" spans="1:7" ht="18" customHeight="1">
      <c r="A48" s="59" t="s">
        <v>45</v>
      </c>
      <c r="B48" s="14">
        <v>36666667</v>
      </c>
      <c r="C48" s="14">
        <f>23125139-10159473+1406865+575861+12142475+3575800+3000000+3000000</f>
        <v>36666667</v>
      </c>
      <c r="D48" s="14">
        <v>0</v>
      </c>
      <c r="E48" s="14">
        <f>3000000-3000000</f>
        <v>0</v>
      </c>
      <c r="F48" s="43">
        <f t="shared" si="1"/>
        <v>0</v>
      </c>
      <c r="G48" s="41"/>
    </row>
    <row r="49" spans="1:7" ht="18" customHeight="1" thickBot="1">
      <c r="A49" s="62" t="s">
        <v>46</v>
      </c>
      <c r="B49" s="14">
        <v>61973</v>
      </c>
      <c r="C49" s="55">
        <v>0</v>
      </c>
      <c r="D49" s="14">
        <v>0</v>
      </c>
      <c r="E49" s="14">
        <v>0</v>
      </c>
      <c r="F49" s="53">
        <f t="shared" si="1"/>
        <v>61973</v>
      </c>
      <c r="G49" s="41"/>
    </row>
    <row r="50" spans="1:7" ht="19.5" customHeight="1" thickBot="1">
      <c r="A50" s="65" t="s">
        <v>2</v>
      </c>
      <c r="B50" s="54">
        <f>SUM(B8:B49)</f>
        <v>146666667</v>
      </c>
      <c r="C50" s="54">
        <f>SUM(C8:C49)</f>
        <v>139420849.78</v>
      </c>
      <c r="D50" s="54">
        <f>SUM(D8:D49)</f>
        <v>3376705.96</v>
      </c>
      <c r="E50" s="54">
        <f>SUM(E8:E49)</f>
        <v>0</v>
      </c>
      <c r="F50" s="19">
        <f>SUM(F8:F49)</f>
        <v>3869111.26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67</v>
      </c>
      <c r="B56" s="49">
        <f>B10+B11+B13+B15+B17+B22+B28+B30+B36+B38+B39+B40+B44+B45+B46+B49</f>
        <v>4204100</v>
      </c>
      <c r="C56" s="49">
        <f>C10+C11+C13+C15+C17+C22+C28+C30+C36+C38+C39+C40+C44+C45+C46+C49</f>
        <v>799843</v>
      </c>
      <c r="D56" s="49">
        <f>D10+D11+D13+D15+D17+D22+D28+D30+D36+D38+D39+D40+D44+D45+D46+D49</f>
        <v>113000</v>
      </c>
      <c r="E56" s="49">
        <f>E10+E11+E13+E15+E17+E22+E28+E30+E36+E38+E39+E40+E44+E45+E46+E49</f>
        <v>0</v>
      </c>
      <c r="F56" s="49">
        <f>F10+F11+F13+F15+F17+F22+F28+F30+F36+F38+F39+F40+F44+F45+F46+F49</f>
        <v>3291257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2">
    <pageSetUpPr fitToPage="1"/>
  </sheetPr>
  <dimension ref="A1:K57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5" t="str">
        <f>status!$C$1</f>
        <v>UNEP/OzL.Pro/ExCom/57/L.1</v>
      </c>
      <c r="B1" s="47"/>
    </row>
    <row r="2" spans="1:2" ht="15.75" customHeight="1">
      <c r="A2" s="5" t="s">
        <v>105</v>
      </c>
      <c r="B2" s="5"/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118</v>
      </c>
      <c r="B5" s="6"/>
      <c r="C5" s="8"/>
      <c r="D5" s="8"/>
      <c r="E5" s="6"/>
      <c r="F5" s="6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  <c r="G7" s="40"/>
    </row>
    <row r="8" spans="1:7" ht="18" customHeight="1">
      <c r="A8" s="56" t="s">
        <v>10</v>
      </c>
      <c r="B8" s="21">
        <v>2482261</v>
      </c>
      <c r="C8" s="21">
        <f>2114355.37+122205.63+24100</f>
        <v>2260661</v>
      </c>
      <c r="D8" s="21">
        <f>245700-24100</f>
        <v>221600</v>
      </c>
      <c r="E8" s="21">
        <v>0</v>
      </c>
      <c r="F8" s="52">
        <f aca="true" t="shared" si="0" ref="F8:F35">+B8-C8-D8-E8</f>
        <v>0</v>
      </c>
      <c r="G8" s="41"/>
    </row>
    <row r="9" spans="1:7" ht="18" customHeight="1">
      <c r="A9" s="59" t="s">
        <v>11</v>
      </c>
      <c r="B9" s="14">
        <v>1576118</v>
      </c>
      <c r="C9" s="14">
        <f>1275385+300733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12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13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14</v>
      </c>
      <c r="B12" s="14">
        <v>1847459</v>
      </c>
      <c r="C12" s="14">
        <f>1564829+282630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48</v>
      </c>
      <c r="B13" s="14">
        <v>31824</v>
      </c>
      <c r="C13" s="14"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15</v>
      </c>
      <c r="B14" s="14">
        <v>4612784</v>
      </c>
      <c r="C14" s="14">
        <f>3648666+175291</f>
        <v>3823957</v>
      </c>
      <c r="D14" s="14">
        <v>788827</v>
      </c>
      <c r="E14" s="14">
        <v>0</v>
      </c>
      <c r="F14" s="43">
        <f t="shared" si="0"/>
        <v>0</v>
      </c>
      <c r="G14" s="41"/>
    </row>
    <row r="15" spans="1:7" ht="18" customHeight="1">
      <c r="A15" s="59" t="s">
        <v>16</v>
      </c>
      <c r="B15" s="14">
        <v>202668</v>
      </c>
      <c r="C15" s="14">
        <f>188771+13897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17</v>
      </c>
      <c r="B16" s="14">
        <v>1157383</v>
      </c>
      <c r="C16" s="14">
        <f>1019235+138148</f>
        <v>1157383</v>
      </c>
      <c r="D16" s="14">
        <v>0</v>
      </c>
      <c r="E16" s="14">
        <v>0</v>
      </c>
      <c r="F16" s="43">
        <f>+B16-C16-D16-E16</f>
        <v>0</v>
      </c>
      <c r="G16" s="41"/>
    </row>
    <row r="17" spans="1:7" ht="18" customHeight="1">
      <c r="A17" s="59" t="s">
        <v>62</v>
      </c>
      <c r="B17" s="14">
        <v>25124</v>
      </c>
      <c r="C17" s="14"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18</v>
      </c>
      <c r="B18" s="14">
        <v>907817</v>
      </c>
      <c r="C18" s="14">
        <f>791927+115890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19</v>
      </c>
      <c r="B19" s="14">
        <v>10954107</v>
      </c>
      <c r="C19" s="14">
        <f>10694928-5270</f>
        <v>10689658</v>
      </c>
      <c r="D19" s="14">
        <v>259179</v>
      </c>
      <c r="E19" s="14">
        <f>10694928-10694928</f>
        <v>0</v>
      </c>
      <c r="F19" s="43">
        <f t="shared" si="0"/>
        <v>5270</v>
      </c>
      <c r="G19" s="41"/>
    </row>
    <row r="20" spans="1:7" ht="18" customHeight="1">
      <c r="A20" s="59" t="s">
        <v>20</v>
      </c>
      <c r="B20" s="14">
        <v>16427810</v>
      </c>
      <c r="C20" s="14">
        <v>16427810</v>
      </c>
      <c r="D20" s="14">
        <v>0</v>
      </c>
      <c r="E20" s="14">
        <v>0</v>
      </c>
      <c r="F20" s="43">
        <f t="shared" si="0"/>
        <v>0</v>
      </c>
      <c r="G20" s="41"/>
    </row>
    <row r="21" spans="1:7" ht="18" customHeight="1">
      <c r="A21" s="59" t="s">
        <v>21</v>
      </c>
      <c r="B21" s="14">
        <v>587904</v>
      </c>
      <c r="C21" s="14">
        <f>101763+287584+198557</f>
        <v>587904</v>
      </c>
      <c r="D21" s="14">
        <v>0</v>
      </c>
      <c r="E21" s="14">
        <v>0</v>
      </c>
      <c r="F21" s="43">
        <f t="shared" si="0"/>
        <v>0</v>
      </c>
      <c r="G21" s="41"/>
    </row>
    <row r="22" spans="1:7" ht="18" customHeight="1">
      <c r="A22" s="59" t="s">
        <v>22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23</v>
      </c>
      <c r="B23" s="14">
        <v>53598</v>
      </c>
      <c r="C23" s="14"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24</v>
      </c>
      <c r="B24" s="14">
        <v>375186</v>
      </c>
      <c r="C24" s="14">
        <f>301807+73379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25</v>
      </c>
      <c r="B25" s="14">
        <v>577854</v>
      </c>
      <c r="C25" s="14">
        <f>390244+35077+70024+110000</f>
        <v>605345</v>
      </c>
      <c r="D25" s="14">
        <v>0</v>
      </c>
      <c r="E25" s="14">
        <v>0</v>
      </c>
      <c r="F25" s="43">
        <f t="shared" si="0"/>
        <v>-27491</v>
      </c>
      <c r="G25" s="41"/>
    </row>
    <row r="26" spans="1:7" ht="18" customHeight="1">
      <c r="A26" s="59" t="s">
        <v>26</v>
      </c>
      <c r="B26" s="14">
        <v>9098273</v>
      </c>
      <c r="C26" s="14">
        <f>5874936+1403682</f>
        <v>7278618</v>
      </c>
      <c r="D26" s="14">
        <f>1607825+211830</f>
        <v>1819655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64</v>
      </c>
      <c r="B27" s="14">
        <v>33471998</v>
      </c>
      <c r="C27" s="14">
        <f>33471998+3-D27</f>
        <v>32648206.04</v>
      </c>
      <c r="D27" s="14">
        <f>350000+485833-12038.04</f>
        <v>823794.96</v>
      </c>
      <c r="E27" s="14">
        <v>0</v>
      </c>
      <c r="F27" s="43">
        <f t="shared" si="0"/>
        <v>-2.9999999990686774</v>
      </c>
      <c r="G27" s="41"/>
    </row>
    <row r="28" spans="1:7" ht="18" customHeight="1">
      <c r="A28" s="59" t="s">
        <v>52</v>
      </c>
      <c r="B28" s="14">
        <v>40199</v>
      </c>
      <c r="C28" s="14">
        <f>6495+33704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27</v>
      </c>
      <c r="B29" s="14">
        <v>10050</v>
      </c>
      <c r="C29" s="14">
        <f>10025+25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28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29</v>
      </c>
      <c r="B31" s="14">
        <v>113896</v>
      </c>
      <c r="C31" s="14">
        <f>95592+18304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30</v>
      </c>
      <c r="B32" s="14">
        <v>6700</v>
      </c>
      <c r="C32" s="14">
        <f>5620-20+1100</f>
        <v>6700</v>
      </c>
      <c r="D32" s="14">
        <v>0</v>
      </c>
      <c r="E32" s="14">
        <v>0</v>
      </c>
      <c r="F32" s="43">
        <f t="shared" si="0"/>
        <v>0</v>
      </c>
      <c r="G32" s="41"/>
    </row>
    <row r="33" spans="1:7" ht="18" customHeight="1">
      <c r="A33" s="59" t="s">
        <v>31</v>
      </c>
      <c r="B33" s="14">
        <v>2731827</v>
      </c>
      <c r="C33" s="14">
        <f>2731827</f>
        <v>2731827</v>
      </c>
      <c r="D33" s="14">
        <v>0</v>
      </c>
      <c r="E33" s="14">
        <v>0</v>
      </c>
      <c r="F33" s="43">
        <f t="shared" si="0"/>
        <v>0</v>
      </c>
      <c r="G33" s="41"/>
    </row>
    <row r="34" spans="1:7" ht="18" customHeight="1">
      <c r="A34" s="59" t="s">
        <v>32</v>
      </c>
      <c r="B34" s="14">
        <v>370162</v>
      </c>
      <c r="C34" s="14">
        <f>13209+311790+45163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33</v>
      </c>
      <c r="B35" s="14">
        <v>1021713</v>
      </c>
      <c r="C35" s="14">
        <f>884274+137439</f>
        <v>1021713</v>
      </c>
      <c r="D35" s="14">
        <v>0</v>
      </c>
      <c r="E35" s="14">
        <v>0</v>
      </c>
      <c r="F35" s="43">
        <f t="shared" si="0"/>
        <v>0</v>
      </c>
      <c r="G35" s="41"/>
    </row>
    <row r="36" spans="1:7" ht="18" customHeight="1">
      <c r="A36" s="59" t="s">
        <v>34</v>
      </c>
      <c r="B36" s="14">
        <v>346712</v>
      </c>
      <c r="C36" s="14">
        <v>346712</v>
      </c>
      <c r="D36" s="14">
        <v>0</v>
      </c>
      <c r="E36" s="14">
        <v>0</v>
      </c>
      <c r="F36" s="43">
        <f aca="true" t="shared" si="1" ref="F36:F49">+B36-C36-D36-E36</f>
        <v>0</v>
      </c>
      <c r="G36" s="41"/>
    </row>
    <row r="37" spans="1:7" ht="18" customHeight="1">
      <c r="A37" s="59" t="s">
        <v>35</v>
      </c>
      <c r="B37" s="14">
        <v>698450</v>
      </c>
      <c r="C37" s="14">
        <f>101405+111160+402655+83230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36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96</v>
      </c>
      <c r="B39" s="14">
        <v>65323</v>
      </c>
      <c r="C39" s="14"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56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38</v>
      </c>
      <c r="B41" s="14">
        <v>4336419</v>
      </c>
      <c r="C41" s="14"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91</v>
      </c>
      <c r="B42" s="14">
        <v>1815635</v>
      </c>
      <c r="C42" s="14">
        <f>(1452508-99748)+(107103-7355)+363127</f>
        <v>1815635</v>
      </c>
      <c r="D42" s="14">
        <v>0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40</v>
      </c>
      <c r="B43" s="14">
        <v>2035052</v>
      </c>
      <c r="C43" s="14">
        <f>(1714846+77147)+(151821+11238)</f>
        <v>1955052</v>
      </c>
      <c r="D43" s="14">
        <f>80000</f>
        <v>80000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41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42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43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44</v>
      </c>
      <c r="B47" s="14">
        <v>8525444</v>
      </c>
      <c r="C47" s="14">
        <f>1258869+546273+716972+1247708+1393507+162038+68179+89484+173200+27401+2796705+45108</f>
        <v>8525444</v>
      </c>
      <c r="D47" s="14">
        <v>0</v>
      </c>
      <c r="E47" s="14">
        <v>0</v>
      </c>
      <c r="F47" s="43">
        <f t="shared" si="1"/>
        <v>0</v>
      </c>
      <c r="G47" s="41"/>
    </row>
    <row r="48" spans="1:11" ht="18" customHeight="1">
      <c r="A48" s="59" t="s">
        <v>45</v>
      </c>
      <c r="B48" s="14">
        <v>36666667</v>
      </c>
      <c r="C48" s="14">
        <f>11328778+153430+1450000+900000+1674986+10159473+2200000+2200000+2200000+2200000+2200000</f>
        <v>36666667</v>
      </c>
      <c r="D48" s="14">
        <v>0</v>
      </c>
      <c r="E48" s="14">
        <f>6600000-2200000-2200000-2200000</f>
        <v>0</v>
      </c>
      <c r="F48" s="43">
        <f t="shared" si="1"/>
        <v>0</v>
      </c>
      <c r="G48" s="41"/>
      <c r="K48" s="14">
        <f>2796705+45108</f>
        <v>2841813</v>
      </c>
    </row>
    <row r="49" spans="1:7" ht="18" customHeight="1" thickBot="1">
      <c r="A49" s="62" t="s">
        <v>46</v>
      </c>
      <c r="B49" s="14">
        <v>61973</v>
      </c>
      <c r="C49" s="14">
        <v>61973</v>
      </c>
      <c r="D49" s="14">
        <v>0</v>
      </c>
      <c r="E49" s="14">
        <v>0</v>
      </c>
      <c r="F49" s="53">
        <f t="shared" si="1"/>
        <v>0</v>
      </c>
      <c r="G49" s="41"/>
    </row>
    <row r="50" spans="1:7" ht="18" customHeight="1" thickBot="1">
      <c r="A50" s="65" t="s">
        <v>2</v>
      </c>
      <c r="B50" s="54">
        <f>SUM(B8:B49)</f>
        <v>146666667</v>
      </c>
      <c r="C50" s="54">
        <f>SUM(C8:C49)</f>
        <v>139466551.04</v>
      </c>
      <c r="D50" s="54">
        <f>SUM(D8:D49)</f>
        <v>3993055.96</v>
      </c>
      <c r="E50" s="54">
        <f>SUM(E8:E49)</f>
        <v>0</v>
      </c>
      <c r="F50" s="19">
        <f>SUM(F8:F49)</f>
        <v>3207060.000000001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67</v>
      </c>
      <c r="B56" s="49">
        <f>B10+B11+B13+B15+B17+B22+B28+B30+B36+B38+B39+B40+B44+B45+B46+B49</f>
        <v>4204100</v>
      </c>
      <c r="C56" s="49">
        <f>C10+C11+C13+C15+C17+C22+C28+C30+C36+C38+C39+C40+C44+C45+C46+C49</f>
        <v>974816</v>
      </c>
      <c r="D56" s="49">
        <f>D10+D11+D13+D15+D17+D22+D28+D30+D36+D38+D39+D40+D44+D45+D46+D49</f>
        <v>0</v>
      </c>
      <c r="E56" s="49">
        <f>E10+E11+E13+E15+E17+E22+E28+E30+E36+E38+E39+E40+E44+E45+E46+E49</f>
        <v>0</v>
      </c>
      <c r="F56" s="49">
        <f>F10+F11+F13+F15+F17+F22+F28+F30+F36+F38+F39+F40+F44+F45+F46+F49</f>
        <v>3229284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112">
    <pageSetUpPr fitToPage="1"/>
  </sheetPr>
  <dimension ref="A1:G57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1.69921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94</v>
      </c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119</v>
      </c>
      <c r="B5" s="6"/>
      <c r="C5" s="8"/>
      <c r="D5" s="8"/>
      <c r="E5" s="6"/>
      <c r="F5" s="6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8"/>
      <c r="G6" s="3"/>
    </row>
    <row r="7" spans="1:6" ht="32.25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56" t="s">
        <v>10</v>
      </c>
      <c r="B8" s="34">
        <f>YR2000!B8+YR2001!B8+YR2002!B8</f>
        <v>7446783</v>
      </c>
      <c r="C8" s="34">
        <f>YR2000!C8+YR2001!C8+YR2002!C8+69300.25</f>
        <v>6913302.99</v>
      </c>
      <c r="D8" s="34">
        <f>YR2000!D8+YR2001!D8+YR2002!D8</f>
        <v>533480</v>
      </c>
      <c r="E8" s="34">
        <f>YR2000!E8+YR2001!E8+YR2002!E8</f>
        <v>0</v>
      </c>
      <c r="F8" s="11">
        <f aca="true" t="shared" si="0" ref="F8:F34">B8-C8-D8-E8</f>
        <v>0.009999999776482582</v>
      </c>
    </row>
    <row r="9" spans="1:6" ht="18" customHeight="1">
      <c r="A9" s="59" t="s">
        <v>11</v>
      </c>
      <c r="B9" s="22">
        <f>YR2000!B9+YR2001!B9+YR2002!B9</f>
        <v>4728354</v>
      </c>
      <c r="C9" s="22">
        <f>YR2000!C9+YR2001!C9+YR2002!C9</f>
        <v>4728354</v>
      </c>
      <c r="D9" s="22">
        <f>YR2000!D9+YR2001!D9+YR2002!D9</f>
        <v>0</v>
      </c>
      <c r="E9" s="22">
        <f>YR2000!E9+YR2001!E9+YR2002!E9</f>
        <v>0</v>
      </c>
      <c r="F9" s="23">
        <f t="shared" si="0"/>
        <v>0</v>
      </c>
    </row>
    <row r="10" spans="1:6" ht="18" customHeight="1">
      <c r="A10" s="60" t="s">
        <v>12</v>
      </c>
      <c r="B10" s="22">
        <f>YR2000!B10+YR2001!B10+YR2002!B10</f>
        <v>110547</v>
      </c>
      <c r="C10" s="22">
        <f>YR2000!C10+YR2001!C10+YR2002!C10</f>
        <v>0</v>
      </c>
      <c r="D10" s="22">
        <f>YR2000!D10+YR2001!D10+YR2002!D10</f>
        <v>0</v>
      </c>
      <c r="E10" s="22">
        <f>YR2000!E10+YR2001!E10+YR2002!E10</f>
        <v>0</v>
      </c>
      <c r="F10" s="23">
        <f t="shared" si="0"/>
        <v>110547</v>
      </c>
    </row>
    <row r="11" spans="1:6" ht="18" customHeight="1">
      <c r="A11" s="59" t="s">
        <v>13</v>
      </c>
      <c r="B11" s="22">
        <f>YR2000!B11+YR2001!B11+YR2002!B11</f>
        <v>412035</v>
      </c>
      <c r="C11" s="22">
        <f>YR2000!C11+YR2001!C11+YR2002!C11</f>
        <v>0</v>
      </c>
      <c r="D11" s="22">
        <f>YR2000!D11+YR2001!D11+YR2002!D11</f>
        <v>0</v>
      </c>
      <c r="E11" s="22">
        <f>YR2000!E11+YR2001!E11+YR2002!E11</f>
        <v>0</v>
      </c>
      <c r="F11" s="23">
        <f t="shared" si="0"/>
        <v>412035</v>
      </c>
    </row>
    <row r="12" spans="1:6" ht="18" customHeight="1">
      <c r="A12" s="59" t="s">
        <v>14</v>
      </c>
      <c r="B12" s="22">
        <f>YR2000!B12+YR2001!B12+YR2002!B12</f>
        <v>5542377</v>
      </c>
      <c r="C12" s="22">
        <f>YR2000!C12+YR2001!C12+YR2002!C12</f>
        <v>5542377</v>
      </c>
      <c r="D12" s="22">
        <f>YR2000!D12+YR2001!D12+YR2002!D12</f>
        <v>0</v>
      </c>
      <c r="E12" s="22">
        <f>YR2000!E12+YR2001!E12+YR2002!E12</f>
        <v>0</v>
      </c>
      <c r="F12" s="23">
        <f t="shared" si="0"/>
        <v>0</v>
      </c>
    </row>
    <row r="13" spans="1:6" ht="18" customHeight="1">
      <c r="A13" s="59" t="s">
        <v>48</v>
      </c>
      <c r="B13" s="22">
        <f>YR2000!B13+YR2001!B13+YR2002!B13</f>
        <v>95472</v>
      </c>
      <c r="C13" s="22">
        <f>YR2000!C13+YR2001!C13+YR2002!C13</f>
        <v>95472</v>
      </c>
      <c r="D13" s="22">
        <f>YR2000!D13+YR2001!D13+YR2002!D13</f>
        <v>0</v>
      </c>
      <c r="E13" s="22">
        <f>YR2000!E13+YR2001!E13+YR2002!E13</f>
        <v>0</v>
      </c>
      <c r="F13" s="23">
        <f t="shared" si="0"/>
        <v>0</v>
      </c>
    </row>
    <row r="14" spans="1:6" ht="18" customHeight="1">
      <c r="A14" s="59" t="s">
        <v>15</v>
      </c>
      <c r="B14" s="22">
        <f>YR2000!B14+YR2001!B14+YR2002!B14</f>
        <v>13838352</v>
      </c>
      <c r="C14" s="22">
        <f>YR2000!C14+YR2001!C14+YR2002!C14</f>
        <v>11517069</v>
      </c>
      <c r="D14" s="22">
        <f>YR2000!D14+YR2001!D14+YR2002!D14</f>
        <v>2321283</v>
      </c>
      <c r="E14" s="22">
        <f>YR2000!E14+YR2001!E14+YR2002!E14</f>
        <v>0</v>
      </c>
      <c r="F14" s="23">
        <f t="shared" si="0"/>
        <v>0</v>
      </c>
    </row>
    <row r="15" spans="1:6" ht="18" customHeight="1">
      <c r="A15" s="59" t="s">
        <v>16</v>
      </c>
      <c r="B15" s="22">
        <f>YR2000!B15+YR2001!B15+YR2002!B15</f>
        <v>608004</v>
      </c>
      <c r="C15" s="22">
        <f>YR2000!C15+YR2001!C15+YR2002!C15</f>
        <v>608004</v>
      </c>
      <c r="D15" s="22">
        <f>YR2000!D15+YR2001!D15+YR2002!D15</f>
        <v>0</v>
      </c>
      <c r="E15" s="22">
        <f>YR2000!E15+YR2001!E15+YR2002!E15</f>
        <v>0</v>
      </c>
      <c r="F15" s="23">
        <f t="shared" si="0"/>
        <v>0</v>
      </c>
    </row>
    <row r="16" spans="1:6" ht="18" customHeight="1">
      <c r="A16" s="59" t="s">
        <v>17</v>
      </c>
      <c r="B16" s="22">
        <f>YR2000!B16+YR2001!B16+YR2002!B16</f>
        <v>3472149</v>
      </c>
      <c r="C16" s="22">
        <f>YR2000!C16+YR2001!C16+YR2002!C16</f>
        <v>3472149</v>
      </c>
      <c r="D16" s="22">
        <f>YR2000!D16+YR2001!D16+YR2002!D16</f>
        <v>0</v>
      </c>
      <c r="E16" s="22">
        <f>YR2000!E16+YR2001!E16+YR2002!E16</f>
        <v>0</v>
      </c>
      <c r="F16" s="23">
        <f t="shared" si="0"/>
        <v>0</v>
      </c>
    </row>
    <row r="17" spans="1:6" ht="18" customHeight="1">
      <c r="A17" s="59" t="s">
        <v>62</v>
      </c>
      <c r="B17" s="22">
        <f>YR2000!B17+YR2001!B17+YR2002!B17</f>
        <v>75372</v>
      </c>
      <c r="C17" s="22">
        <f>YR2000!C17+YR2001!C17+YR2002!C17</f>
        <v>75372</v>
      </c>
      <c r="D17" s="22">
        <f>YR2000!D17+YR2001!D17+YR2002!D17</f>
        <v>0</v>
      </c>
      <c r="E17" s="22">
        <f>YR2000!E17+YR2001!E17+YR2002!E17</f>
        <v>0</v>
      </c>
      <c r="F17" s="23">
        <f t="shared" si="0"/>
        <v>0</v>
      </c>
    </row>
    <row r="18" spans="1:6" ht="18" customHeight="1">
      <c r="A18" s="59" t="s">
        <v>18</v>
      </c>
      <c r="B18" s="22">
        <f>YR2000!B18+YR2001!B18+YR2002!B18</f>
        <v>2723451</v>
      </c>
      <c r="C18" s="22">
        <f>YR2000!C18+YR2001!C18+YR2002!C18</f>
        <v>2723451</v>
      </c>
      <c r="D18" s="22">
        <f>YR2000!D18+YR2001!D18+YR2002!D18</f>
        <v>0</v>
      </c>
      <c r="E18" s="22">
        <f>YR2000!E18+YR2001!E18+YR2002!E18</f>
        <v>0</v>
      </c>
      <c r="F18" s="23">
        <f t="shared" si="0"/>
        <v>0</v>
      </c>
    </row>
    <row r="19" spans="1:6" ht="18" customHeight="1">
      <c r="A19" s="59" t="s">
        <v>19</v>
      </c>
      <c r="B19" s="22">
        <f>YR2000!B19+YR2001!B19+YR2002!B19</f>
        <v>32862321</v>
      </c>
      <c r="C19" s="22">
        <f>YR2000!C19+YR2001!C19+YR2002!C19</f>
        <v>30888221</v>
      </c>
      <c r="D19" s="22">
        <f>YR2000!D19+YR2001!D19+YR2002!D19</f>
        <v>2008725</v>
      </c>
      <c r="E19" s="22">
        <f>YR2000!E19+YR2001!E19+YR2002!E19</f>
        <v>0</v>
      </c>
      <c r="F19" s="23">
        <f t="shared" si="0"/>
        <v>-34625</v>
      </c>
    </row>
    <row r="20" spans="1:6" ht="18" customHeight="1">
      <c r="A20" s="59" t="s">
        <v>20</v>
      </c>
      <c r="B20" s="22">
        <f>YR2000!B20+YR2001!B20+YR2002!B20</f>
        <v>49283430</v>
      </c>
      <c r="C20" s="22">
        <f>YR2000!C20+YR2001!C20+YR2002!C20</f>
        <v>39426743</v>
      </c>
      <c r="D20" s="22">
        <f>YR2000!D20+YR2001!D20+YR2002!D20</f>
        <v>9856687</v>
      </c>
      <c r="E20" s="22">
        <f>YR2000!E20+YR2001!E20+YR2002!E20</f>
        <v>0</v>
      </c>
      <c r="F20" s="23">
        <f t="shared" si="0"/>
        <v>0</v>
      </c>
    </row>
    <row r="21" spans="1:6" ht="18" customHeight="1">
      <c r="A21" s="59" t="s">
        <v>21</v>
      </c>
      <c r="B21" s="22">
        <f>YR2000!B21+YR2001!B21+YR2002!B21</f>
        <v>1763712</v>
      </c>
      <c r="C21" s="22">
        <f>YR2000!C21+YR2001!C21+YR2002!C21</f>
        <v>1814083.29</v>
      </c>
      <c r="D21" s="22">
        <f>YR2000!D21+YR2001!D21+YR2002!D21</f>
        <v>0</v>
      </c>
      <c r="E21" s="22">
        <f>YR2000!E21+YR2001!E21+YR2002!E21</f>
        <v>0</v>
      </c>
      <c r="F21" s="23">
        <f t="shared" si="0"/>
        <v>-50371.29000000004</v>
      </c>
    </row>
    <row r="22" spans="1:6" ht="18" customHeight="1">
      <c r="A22" s="59" t="s">
        <v>22</v>
      </c>
      <c r="B22" s="22">
        <f>YR2000!B22+YR2001!B22+YR2002!B22</f>
        <v>602979</v>
      </c>
      <c r="C22" s="22">
        <f>YR2000!C22+YR2001!C22+YR2002!C22</f>
        <v>602979</v>
      </c>
      <c r="D22" s="22">
        <f>YR2000!D22+YR2001!D22+YR2002!D22</f>
        <v>0</v>
      </c>
      <c r="E22" s="22">
        <f>YR2000!E22+YR2001!E22+YR2002!E22</f>
        <v>0</v>
      </c>
      <c r="F22" s="23">
        <f t="shared" si="0"/>
        <v>0</v>
      </c>
    </row>
    <row r="23" spans="1:6" ht="18" customHeight="1">
      <c r="A23" s="59" t="s">
        <v>23</v>
      </c>
      <c r="B23" s="22">
        <f>YR2000!B23+YR2001!B23+YR2002!B23</f>
        <v>160794</v>
      </c>
      <c r="C23" s="22">
        <f>YR2000!C23+YR2001!C23+YR2002!C23</f>
        <v>160794</v>
      </c>
      <c r="D23" s="22">
        <f>YR2000!D23+YR2001!D23+YR2002!D23</f>
        <v>0</v>
      </c>
      <c r="E23" s="22">
        <f>YR2000!E23+YR2001!E23+YR2002!E23</f>
        <v>0</v>
      </c>
      <c r="F23" s="23">
        <f t="shared" si="0"/>
        <v>0</v>
      </c>
    </row>
    <row r="24" spans="1:6" ht="18" customHeight="1">
      <c r="A24" s="59" t="s">
        <v>24</v>
      </c>
      <c r="B24" s="22">
        <f>YR2000!B24+YR2001!B24+YR2002!B24</f>
        <v>1125558</v>
      </c>
      <c r="C24" s="22">
        <f>YR2000!C24+YR2001!C24+YR2002!C24</f>
        <v>1125558</v>
      </c>
      <c r="D24" s="22">
        <f>YR2000!D24+YR2001!D24+YR2002!D24</f>
        <v>0</v>
      </c>
      <c r="E24" s="22">
        <f>YR2000!E24+YR2001!E24+YR2002!E24</f>
        <v>0</v>
      </c>
      <c r="F24" s="23">
        <f t="shared" si="0"/>
        <v>0</v>
      </c>
    </row>
    <row r="25" spans="1:6" ht="18" customHeight="1">
      <c r="A25" s="59" t="s">
        <v>25</v>
      </c>
      <c r="B25" s="22">
        <f>YR2000!B25+YR2001!B25+YR2002!B25</f>
        <v>1733562</v>
      </c>
      <c r="C25" s="22">
        <f>YR2000!C25+YR2001!C25+YR2002!C25</f>
        <v>605345</v>
      </c>
      <c r="D25" s="22">
        <f>YR2000!D25+YR2001!D25+YR2002!D25</f>
        <v>38106</v>
      </c>
      <c r="E25" s="22">
        <f>YR2000!E25+YR2001!E25+YR2002!E25</f>
        <v>0</v>
      </c>
      <c r="F25" s="23">
        <f t="shared" si="0"/>
        <v>1090111</v>
      </c>
    </row>
    <row r="26" spans="1:6" ht="18" customHeight="1">
      <c r="A26" s="59" t="s">
        <v>26</v>
      </c>
      <c r="B26" s="22">
        <f>YR2000!B26+YR2001!B26+YR2002!B26</f>
        <v>27294819</v>
      </c>
      <c r="C26" s="22">
        <f>YR2000!C26+YR2001!C26+YR2002!C26</f>
        <v>21973973.04</v>
      </c>
      <c r="D26" s="22">
        <f>YR2000!D26+YR2001!D26+YR2002!D26</f>
        <v>5320845.96</v>
      </c>
      <c r="E26" s="22">
        <f>YR2000!E26+YR2001!E26+YR2002!E26</f>
        <v>0</v>
      </c>
      <c r="F26" s="23">
        <f t="shared" si="0"/>
        <v>9.313225746154785E-10</v>
      </c>
    </row>
    <row r="27" spans="1:6" ht="18" customHeight="1">
      <c r="A27" s="59" t="s">
        <v>64</v>
      </c>
      <c r="B27" s="22">
        <f>YR2000!B27+YR2001!B27+YR2002!B27</f>
        <v>100415994</v>
      </c>
      <c r="C27" s="22">
        <f>YR2000!C27+YR2001!C27+YR2002!C27</f>
        <v>98827310.03999999</v>
      </c>
      <c r="D27" s="22">
        <f>YR2000!D27+YR2001!D27+YR2002!D27</f>
        <v>1588686.96</v>
      </c>
      <c r="E27" s="22">
        <f>YR2000!E27+YR2001!E27+YR2002!E27</f>
        <v>0</v>
      </c>
      <c r="F27" s="23">
        <f t="shared" si="0"/>
        <v>-2.999999991618097</v>
      </c>
    </row>
    <row r="28" spans="1:6" ht="18" customHeight="1">
      <c r="A28" s="59" t="s">
        <v>52</v>
      </c>
      <c r="B28" s="22">
        <f>YR2000!B28+YR2001!B28+YR2002!B28</f>
        <v>120597</v>
      </c>
      <c r="C28" s="22">
        <f>YR2000!C28+YR2001!C28+YR2002!C28</f>
        <v>120597</v>
      </c>
      <c r="D28" s="22">
        <f>YR2000!D28+YR2001!D28+YR2002!D28</f>
        <v>0</v>
      </c>
      <c r="E28" s="22">
        <f>YR2000!E28+YR2001!E28+YR2002!E28</f>
        <v>0</v>
      </c>
      <c r="F28" s="23">
        <f t="shared" si="0"/>
        <v>0</v>
      </c>
    </row>
    <row r="29" spans="1:6" ht="18" customHeight="1">
      <c r="A29" s="59" t="s">
        <v>27</v>
      </c>
      <c r="B29" s="22">
        <f>YR2000!B29+YR2001!B29+YR2002!B29</f>
        <v>30150</v>
      </c>
      <c r="C29" s="22">
        <f>YR2000!C29+YR2001!C29+YR2002!C29</f>
        <v>30150</v>
      </c>
      <c r="D29" s="22">
        <f>YR2000!D29+YR2001!D29+YR2002!D29</f>
        <v>0</v>
      </c>
      <c r="E29" s="22">
        <f>YR2000!E29+YR2001!E29+YR2002!E29</f>
        <v>0</v>
      </c>
      <c r="F29" s="23">
        <f t="shared" si="0"/>
        <v>0</v>
      </c>
    </row>
    <row r="30" spans="1:6" ht="18" customHeight="1">
      <c r="A30" s="59" t="s">
        <v>28</v>
      </c>
      <c r="B30" s="22">
        <f>YR2000!B30+YR2001!B30+YR2002!B30</f>
        <v>110547</v>
      </c>
      <c r="C30" s="22">
        <f>YR2000!C30+YR2001!C30+YR2002!C30</f>
        <v>0</v>
      </c>
      <c r="D30" s="22">
        <f>YR2000!D30+YR2001!D30+YR2002!D30</f>
        <v>0</v>
      </c>
      <c r="E30" s="22">
        <f>YR2000!E30+YR2001!E30+YR2002!E30</f>
        <v>0</v>
      </c>
      <c r="F30" s="23">
        <f t="shared" si="0"/>
        <v>110547</v>
      </c>
    </row>
    <row r="31" spans="1:6" ht="18" customHeight="1">
      <c r="A31" s="59" t="s">
        <v>29</v>
      </c>
      <c r="B31" s="22">
        <f>YR2000!B31+YR2001!B31+YR2002!B31</f>
        <v>341688</v>
      </c>
      <c r="C31" s="22">
        <f>YR2000!C31+YR2001!C31+YR2002!C31</f>
        <v>341688</v>
      </c>
      <c r="D31" s="22">
        <f>YR2000!D31+YR2001!D31+YR2002!D31</f>
        <v>0</v>
      </c>
      <c r="E31" s="22">
        <f>YR2000!E31+YR2001!E31+YR2002!E31</f>
        <v>0</v>
      </c>
      <c r="F31" s="23">
        <f t="shared" si="0"/>
        <v>0</v>
      </c>
    </row>
    <row r="32" spans="1:6" ht="18" customHeight="1">
      <c r="A32" s="59" t="s">
        <v>30</v>
      </c>
      <c r="B32" s="22">
        <f>YR2000!B32+YR2001!B32+YR2002!B32</f>
        <v>20100</v>
      </c>
      <c r="C32" s="22">
        <f>YR2000!C32+YR2001!C32+YR2002!C32</f>
        <v>20080</v>
      </c>
      <c r="D32" s="22">
        <f>YR2000!D32+YR2001!D32+YR2002!D32</f>
        <v>0</v>
      </c>
      <c r="E32" s="22">
        <f>YR2000!E32+YR2001!E32+YR2002!E32</f>
        <v>0</v>
      </c>
      <c r="F32" s="23">
        <f t="shared" si="0"/>
        <v>20</v>
      </c>
    </row>
    <row r="33" spans="1:6" ht="18" customHeight="1">
      <c r="A33" s="59" t="s">
        <v>31</v>
      </c>
      <c r="B33" s="22">
        <f>YR2000!B33+YR2001!B33+YR2002!B33</f>
        <v>8195481</v>
      </c>
      <c r="C33" s="22">
        <f>YR2000!C33+YR2001!C33+YR2002!C33</f>
        <v>8195481</v>
      </c>
      <c r="D33" s="22">
        <f>YR2000!D33+YR2001!D33+YR2002!D33</f>
        <v>0</v>
      </c>
      <c r="E33" s="22">
        <f>YR2000!E33+YR2001!E33+YR2002!E33</f>
        <v>0</v>
      </c>
      <c r="F33" s="23">
        <f t="shared" si="0"/>
        <v>0</v>
      </c>
    </row>
    <row r="34" spans="1:6" ht="18" customHeight="1">
      <c r="A34" s="59" t="s">
        <v>32</v>
      </c>
      <c r="B34" s="22">
        <f>YR2000!B34+YR2001!B34+YR2002!B34</f>
        <v>1110486</v>
      </c>
      <c r="C34" s="22">
        <f>YR2000!C34+YR2001!C34+YR2002!C34</f>
        <v>1110486</v>
      </c>
      <c r="D34" s="22">
        <f>YR2000!D34+YR2001!D34+YR2002!D34</f>
        <v>0</v>
      </c>
      <c r="E34" s="22">
        <f>YR2000!E34+YR2001!E34+YR2002!E34</f>
        <v>0</v>
      </c>
      <c r="F34" s="23">
        <f t="shared" si="0"/>
        <v>0</v>
      </c>
    </row>
    <row r="35" spans="1:6" ht="18" customHeight="1">
      <c r="A35" s="59" t="s">
        <v>33</v>
      </c>
      <c r="B35" s="22">
        <f>YR2000!B35+YR2001!B35+YR2002!B35</f>
        <v>3065139</v>
      </c>
      <c r="C35" s="22">
        <f>YR2000!C35+YR2001!C35+YR2002!C35</f>
        <v>3065139</v>
      </c>
      <c r="D35" s="22">
        <f>YR2000!D35+YR2001!D35+YR2002!D35</f>
        <v>0</v>
      </c>
      <c r="E35" s="22">
        <f>YR2000!E35+YR2001!E35+YR2002!E35</f>
        <v>0</v>
      </c>
      <c r="F35" s="23">
        <f aca="true" t="shared" si="1" ref="F35:F49">B35-C35-D35-E35</f>
        <v>0</v>
      </c>
    </row>
    <row r="36" spans="1:6" ht="18" customHeight="1">
      <c r="A36" s="59" t="s">
        <v>34</v>
      </c>
      <c r="B36" s="22">
        <f>YR2000!B36+YR2001!B36+YR2002!B36</f>
        <v>1040136</v>
      </c>
      <c r="C36" s="22">
        <f>YR2000!C36+YR2001!C36+YR2002!C36</f>
        <v>927136</v>
      </c>
      <c r="D36" s="22">
        <f>YR2000!D36+YR2001!D36+YR2002!D36</f>
        <v>113000</v>
      </c>
      <c r="E36" s="22">
        <f>YR2000!E36+YR2001!E36+YR2002!E36</f>
        <v>0</v>
      </c>
      <c r="F36" s="23">
        <f t="shared" si="1"/>
        <v>0</v>
      </c>
    </row>
    <row r="37" spans="1:6" ht="18" customHeight="1">
      <c r="A37" s="59" t="s">
        <v>35</v>
      </c>
      <c r="B37" s="22">
        <f>YR2000!B37+YR2001!B37+YR2002!B37</f>
        <v>2095350</v>
      </c>
      <c r="C37" s="22">
        <f>YR2000!C37+YR2001!C37+YR2002!C37</f>
        <v>2095350</v>
      </c>
      <c r="D37" s="22">
        <f>YR2000!D37+YR2001!D37+YR2002!D37</f>
        <v>0</v>
      </c>
      <c r="E37" s="22">
        <f>YR2000!E37+YR2001!E37+YR2002!E37</f>
        <v>0</v>
      </c>
      <c r="F37" s="23">
        <f t="shared" si="1"/>
        <v>0</v>
      </c>
    </row>
    <row r="38" spans="1:6" ht="18" customHeight="1">
      <c r="A38" s="59" t="s">
        <v>36</v>
      </c>
      <c r="B38" s="22">
        <f>YR2000!B38+YR2001!B38+YR2002!B38</f>
        <v>7471905</v>
      </c>
      <c r="C38" s="22">
        <f>YR2000!C38+YR2001!C38+YR2002!C38</f>
        <v>0</v>
      </c>
      <c r="D38" s="22">
        <f>YR2000!D38+YR2001!D38+YR2002!D38</f>
        <v>0</v>
      </c>
      <c r="E38" s="22">
        <f>YR2000!E38+YR2001!E38+YR2002!E38</f>
        <v>0</v>
      </c>
      <c r="F38" s="23">
        <f t="shared" si="1"/>
        <v>7471905</v>
      </c>
    </row>
    <row r="39" spans="1:6" ht="18" customHeight="1">
      <c r="A39" s="61" t="s">
        <v>96</v>
      </c>
      <c r="B39" s="22">
        <f>YR2000!B39+YR2001!B39+YR2002!B39</f>
        <v>195969</v>
      </c>
      <c r="C39" s="22">
        <f>YR2000!C39+YR2001!C39+YR2002!C39</f>
        <v>195969</v>
      </c>
      <c r="D39" s="22">
        <f>YR2000!D39+YR2001!D39+YR2002!D39</f>
        <v>0</v>
      </c>
      <c r="E39" s="22">
        <f>YR2000!E39+YR2001!E39+YR2002!E39</f>
        <v>0</v>
      </c>
      <c r="F39" s="23">
        <f t="shared" si="1"/>
        <v>0</v>
      </c>
    </row>
    <row r="40" spans="1:6" ht="18" customHeight="1">
      <c r="A40" s="59" t="s">
        <v>56</v>
      </c>
      <c r="B40" s="22">
        <f>YR2000!B40+YR2001!B40+YR2002!B40</f>
        <v>0</v>
      </c>
      <c r="C40" s="22">
        <f>YR2000!C40+YR2001!C40+YR2002!C40</f>
        <v>0</v>
      </c>
      <c r="D40" s="22">
        <f>YR2000!D40+YR2001!D40+YR2002!D40</f>
        <v>0</v>
      </c>
      <c r="E40" s="22">
        <f>YR2000!E40+YR2001!E40+YR2002!E40</f>
        <v>0</v>
      </c>
      <c r="F40" s="23">
        <f t="shared" si="1"/>
        <v>0</v>
      </c>
    </row>
    <row r="41" spans="1:6" ht="18" customHeight="1">
      <c r="A41" s="59" t="s">
        <v>38</v>
      </c>
      <c r="B41" s="22">
        <f>YR2000!B41+YR2001!B41+YR2002!B41</f>
        <v>13009257</v>
      </c>
      <c r="C41" s="22">
        <f>YR2000!C41+YR2001!C41+YR2002!C41</f>
        <v>13009257</v>
      </c>
      <c r="D41" s="22">
        <f>YR2000!D41+YR2001!D41+YR2002!D41</f>
        <v>0</v>
      </c>
      <c r="E41" s="22">
        <f>YR2000!E41+YR2001!E41+YR2002!E41</f>
        <v>0</v>
      </c>
      <c r="F41" s="23">
        <f t="shared" si="1"/>
        <v>0</v>
      </c>
    </row>
    <row r="42" spans="1:6" ht="18" customHeight="1">
      <c r="A42" s="59" t="s">
        <v>39</v>
      </c>
      <c r="B42" s="22">
        <f>YR2000!B42+YR2001!B42+YR2002!B42</f>
        <v>5446905</v>
      </c>
      <c r="C42" s="22">
        <f>YR2000!C42+YR2001!C42+YR2002!C42</f>
        <v>4735239</v>
      </c>
      <c r="D42" s="22">
        <f>YR2000!D42+YR2001!D42+YR2002!D42</f>
        <v>711666</v>
      </c>
      <c r="E42" s="22">
        <f>YR2000!E42+YR2001!E42+YR2002!E42</f>
        <v>0</v>
      </c>
      <c r="F42" s="23">
        <f t="shared" si="1"/>
        <v>0</v>
      </c>
    </row>
    <row r="43" spans="1:6" ht="18" customHeight="1">
      <c r="A43" s="59" t="s">
        <v>40</v>
      </c>
      <c r="B43" s="22">
        <f>YR2000!B43+YR2001!B43+YR2002!B43</f>
        <v>6105156</v>
      </c>
      <c r="C43" s="22">
        <f>YR2000!C43+YR2001!C43+YR2002!C43</f>
        <v>5953926</v>
      </c>
      <c r="D43" s="22">
        <f>YR2000!D43+YR2001!D43+YR2002!D43</f>
        <v>151230</v>
      </c>
      <c r="E43" s="22">
        <f>YR2000!E43+YR2001!E43+YR2002!E43</f>
        <v>0</v>
      </c>
      <c r="F43" s="23">
        <f t="shared" si="1"/>
        <v>0</v>
      </c>
    </row>
    <row r="44" spans="1:6" ht="18" customHeight="1">
      <c r="A44" s="59" t="s">
        <v>41</v>
      </c>
      <c r="B44" s="22">
        <f>YR2000!B44+YR2001!B44+YR2002!B44</f>
        <v>25125</v>
      </c>
      <c r="C44" s="22">
        <f>YR2000!C44+YR2001!C44+YR2002!C44</f>
        <v>0</v>
      </c>
      <c r="D44" s="22">
        <f>YR2000!D44+YR2001!D44+YR2002!D44</f>
        <v>0</v>
      </c>
      <c r="E44" s="22">
        <f>YR2000!E44+YR2001!E44+YR2002!E44</f>
        <v>0</v>
      </c>
      <c r="F44" s="23">
        <f t="shared" si="1"/>
        <v>25125</v>
      </c>
    </row>
    <row r="45" spans="1:6" ht="18" customHeight="1">
      <c r="A45" s="59" t="s">
        <v>42</v>
      </c>
      <c r="B45" s="22">
        <f>YR2000!B45+YR2001!B45+YR2002!B45</f>
        <v>40197</v>
      </c>
      <c r="C45" s="22">
        <f>YR2000!C45+YR2001!C45+YR2002!C45</f>
        <v>0</v>
      </c>
      <c r="D45" s="22">
        <f>YR2000!D45+YR2001!D45+YR2002!D45</f>
        <v>0</v>
      </c>
      <c r="E45" s="22">
        <f>YR2000!E45+YR2001!E45+YR2002!E45</f>
        <v>0</v>
      </c>
      <c r="F45" s="23">
        <f t="shared" si="1"/>
        <v>40197</v>
      </c>
    </row>
    <row r="46" spans="1:6" ht="18" customHeight="1">
      <c r="A46" s="59" t="s">
        <v>43</v>
      </c>
      <c r="B46" s="22">
        <f>YR2000!B46+YR2001!B46+YR2002!B46</f>
        <v>1517496</v>
      </c>
      <c r="C46" s="22">
        <f>YR2000!C46+YR2001!C46+YR2002!C46</f>
        <v>0</v>
      </c>
      <c r="D46" s="22">
        <f>YR2000!D46+YR2001!D46+YR2002!D46</f>
        <v>0</v>
      </c>
      <c r="E46" s="22">
        <f>YR2000!E46+YR2001!E46+YR2002!E46</f>
        <v>0</v>
      </c>
      <c r="F46" s="23">
        <f t="shared" si="1"/>
        <v>1517496</v>
      </c>
    </row>
    <row r="47" spans="1:6" ht="18" customHeight="1">
      <c r="A47" s="59" t="s">
        <v>44</v>
      </c>
      <c r="B47" s="22">
        <f>YR2000!B47+YR2001!B47+YR2002!B47</f>
        <v>25576332</v>
      </c>
      <c r="C47" s="22">
        <f>YR2000!C47+YR2001!C47+YR2002!C47</f>
        <v>25576332</v>
      </c>
      <c r="D47" s="22">
        <f>YR2000!D47+YR2001!D47+YR2002!D47</f>
        <v>0</v>
      </c>
      <c r="E47" s="22">
        <f>YR2000!E47+YR2001!E47+YR2002!E47</f>
        <v>0</v>
      </c>
      <c r="F47" s="23">
        <f t="shared" si="1"/>
        <v>0</v>
      </c>
    </row>
    <row r="48" spans="1:6" ht="18" customHeight="1">
      <c r="A48" s="59" t="s">
        <v>45</v>
      </c>
      <c r="B48" s="22">
        <f>YR2000!B48+YR2001!B48+YR2002!B48</f>
        <v>110000001</v>
      </c>
      <c r="C48" s="22">
        <f>YR2000!C48+YR2001!C48+YR2002!C48</f>
        <v>110000001</v>
      </c>
      <c r="D48" s="22">
        <f>YR2000!D48+YR2001!D48+YR2002!D48</f>
        <v>0</v>
      </c>
      <c r="E48" s="22">
        <f>YR2000!E48+YR2001!E48+YR2002!E48</f>
        <v>0</v>
      </c>
      <c r="F48" s="23">
        <f t="shared" si="1"/>
        <v>0</v>
      </c>
    </row>
    <row r="49" spans="1:6" ht="18" customHeight="1" thickBot="1">
      <c r="A49" s="62" t="s">
        <v>46</v>
      </c>
      <c r="B49" s="55">
        <f>YR2000!B49+YR2001!B49+YR2002!B49</f>
        <v>185919</v>
      </c>
      <c r="C49" s="55">
        <f>YR2000!C49+YR2001!C49+YR2002!C49</f>
        <v>61973</v>
      </c>
      <c r="D49" s="55">
        <f>YR2000!D49+YR2001!D49+YR2002!D49</f>
        <v>0</v>
      </c>
      <c r="E49" s="55">
        <f>YR2000!E49+YR2001!E49+YR2002!E49</f>
        <v>0</v>
      </c>
      <c r="F49" s="23">
        <f t="shared" si="1"/>
        <v>123946</v>
      </c>
    </row>
    <row r="50" spans="1:6" ht="19.5" customHeight="1" thickBot="1">
      <c r="A50" s="65" t="s">
        <v>2</v>
      </c>
      <c r="B50" s="16">
        <f>SUM(B8:B49)</f>
        <v>440000001</v>
      </c>
      <c r="C50" s="17">
        <f>SUM(C8:C49)</f>
        <v>406539361.36</v>
      </c>
      <c r="D50" s="17">
        <f>SUM(D8:D49)</f>
        <v>22643709.92</v>
      </c>
      <c r="E50" s="18">
        <f>SUM(E8:E49)</f>
        <v>0</v>
      </c>
      <c r="F50" s="19">
        <f>SUM(F8:F49)</f>
        <v>10816929.72000001</v>
      </c>
    </row>
    <row r="51" spans="1:6" ht="15.75">
      <c r="A51" s="69"/>
      <c r="B51" s="12"/>
      <c r="C51" s="12"/>
      <c r="D51" s="12"/>
      <c r="E51" s="12"/>
      <c r="F51" s="12"/>
    </row>
    <row r="52" spans="1:6" ht="15.75">
      <c r="A52" s="69"/>
      <c r="B52" s="12"/>
      <c r="C52" s="12"/>
      <c r="D52" s="12"/>
      <c r="E52" s="12"/>
      <c r="F52" s="12"/>
    </row>
    <row r="53" spans="1:6" ht="15.75">
      <c r="A53" s="69"/>
      <c r="B53" s="12"/>
      <c r="C53" s="12"/>
      <c r="D53" s="12"/>
      <c r="E53" s="12"/>
      <c r="F53" s="12"/>
    </row>
    <row r="54" ht="15.75">
      <c r="A54" s="42"/>
    </row>
    <row r="55" spans="1:6" ht="16.5" thickBot="1">
      <c r="A55" s="39"/>
      <c r="B55" s="12"/>
      <c r="C55" s="12"/>
      <c r="D55" s="12"/>
      <c r="E55" s="12"/>
      <c r="F55" s="12"/>
    </row>
    <row r="56" spans="1:7" ht="15.75" customHeight="1" thickBot="1">
      <c r="A56" s="70" t="s">
        <v>67</v>
      </c>
      <c r="B56" s="49">
        <f>B10+B11+B13+B15+B17+B22+B28+B30+B36+B38+B39+B40+B44+B45+B46+B49</f>
        <v>12612300</v>
      </c>
      <c r="C56" s="49">
        <f>C10+C11+C13+C15+C17+C22+C28+C30+C36+C38+C39+C40+C44+C45+C46+C49</f>
        <v>2687502</v>
      </c>
      <c r="D56" s="49">
        <f>D10+D11+D13+D15+D17+D22+D28+D30+D36+D38+D39+D40+D44+D45+D46+D49</f>
        <v>113000</v>
      </c>
      <c r="E56" s="49">
        <f>E10+E11+E13+E15+E17+E22+E28+E30+E36+E38+E39+E40+E44+E45+E46+E49</f>
        <v>0</v>
      </c>
      <c r="F56" s="50">
        <f>B56-C56-D56-E56</f>
        <v>9811798</v>
      </c>
      <c r="G56" s="41"/>
    </row>
    <row r="57" spans="1:6" ht="15.75">
      <c r="A57" s="12"/>
      <c r="B57" s="12"/>
      <c r="C57" s="12"/>
      <c r="D57" s="12"/>
      <c r="E57" s="12"/>
      <c r="F57" s="12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111"/>
  <dimension ref="A1:G58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1.69921875" style="2" customWidth="1"/>
    <col min="8" max="16384" width="8.8984375" style="2" customWidth="1"/>
  </cols>
  <sheetData>
    <row r="1" spans="1:2" ht="15.75" customHeight="1">
      <c r="A1" s="205" t="str">
        <f>status!$C$1</f>
        <v>UNEP/OzL.Pro/ExCom/57/L.1</v>
      </c>
      <c r="B1" s="47"/>
    </row>
    <row r="2" spans="1:2" ht="15.75" customHeight="1">
      <c r="A2" s="205" t="s">
        <v>106</v>
      </c>
      <c r="B2" s="5"/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120</v>
      </c>
      <c r="B5" s="6"/>
      <c r="C5" s="8"/>
      <c r="D5" s="8"/>
      <c r="E5" s="6"/>
      <c r="F5" s="6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8"/>
      <c r="G6" s="3"/>
    </row>
    <row r="7" spans="1:6" ht="32.25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56" t="s">
        <v>10</v>
      </c>
      <c r="B8" s="34">
        <v>8158353</v>
      </c>
      <c r="C8" s="34">
        <v>8158353</v>
      </c>
      <c r="D8" s="34">
        <v>0</v>
      </c>
      <c r="E8" s="34">
        <v>0</v>
      </c>
      <c r="F8" s="11">
        <f>B8-C8-D8-E8</f>
        <v>0</v>
      </c>
    </row>
    <row r="9" spans="1:6" ht="18" customHeight="1">
      <c r="A9" s="59" t="s">
        <v>11</v>
      </c>
      <c r="B9" s="22">
        <v>4768227</v>
      </c>
      <c r="C9" s="22">
        <v>4753065</v>
      </c>
      <c r="D9" s="22">
        <v>15162</v>
      </c>
      <c r="E9" s="22">
        <v>0</v>
      </c>
      <c r="F9" s="23">
        <f>B9-C9-D9-E9</f>
        <v>0</v>
      </c>
    </row>
    <row r="10" spans="1:6" ht="18" customHeight="1">
      <c r="A10" s="60" t="s">
        <v>12</v>
      </c>
      <c r="B10" s="22">
        <v>647706</v>
      </c>
      <c r="C10" s="22">
        <f>36818+30000+66752.67+14930+100000</f>
        <v>248500.66999999998</v>
      </c>
      <c r="D10" s="22">
        <v>0</v>
      </c>
      <c r="E10" s="22">
        <v>0</v>
      </c>
      <c r="F10" s="23">
        <f aca="true" t="shared" si="0" ref="F10:F49">B10-C10-D10-E10</f>
        <v>399205.33</v>
      </c>
    </row>
    <row r="11" spans="1:6" ht="18" customHeight="1">
      <c r="A11" s="59" t="s">
        <v>13</v>
      </c>
      <c r="B11" s="22">
        <v>1612377</v>
      </c>
      <c r="C11" s="22">
        <v>0</v>
      </c>
      <c r="D11" s="22">
        <v>0</v>
      </c>
      <c r="E11" s="22">
        <v>0</v>
      </c>
      <c r="F11" s="23">
        <f t="shared" si="0"/>
        <v>1612377</v>
      </c>
    </row>
    <row r="12" spans="1:6" ht="18" customHeight="1">
      <c r="A12" s="59" t="s">
        <v>97</v>
      </c>
      <c r="B12" s="22">
        <v>5553744</v>
      </c>
      <c r="C12" s="22">
        <f>5445264+108480</f>
        <v>5553744</v>
      </c>
      <c r="D12" s="22">
        <f>108480-108480</f>
        <v>0</v>
      </c>
      <c r="E12" s="22">
        <v>0</v>
      </c>
      <c r="F12" s="23">
        <f t="shared" si="0"/>
        <v>0</v>
      </c>
    </row>
    <row r="13" spans="1:6" ht="18" customHeight="1">
      <c r="A13" s="59" t="s">
        <v>48</v>
      </c>
      <c r="B13" s="22">
        <v>68000</v>
      </c>
      <c r="C13" s="22">
        <v>68000</v>
      </c>
      <c r="D13" s="22">
        <v>0</v>
      </c>
      <c r="E13" s="22">
        <v>0</v>
      </c>
      <c r="F13" s="23">
        <f t="shared" si="0"/>
        <v>0</v>
      </c>
    </row>
    <row r="14" spans="1:6" ht="18" customHeight="1">
      <c r="A14" s="59" t="s">
        <v>15</v>
      </c>
      <c r="B14" s="22">
        <v>17102223</v>
      </c>
      <c r="C14" s="22">
        <v>15062417.610000001</v>
      </c>
      <c r="D14" s="22">
        <v>2039805</v>
      </c>
      <c r="E14" s="22">
        <v>0</v>
      </c>
      <c r="F14" s="23">
        <f t="shared" si="0"/>
        <v>0.3899999987334013</v>
      </c>
    </row>
    <row r="15" spans="1:6" ht="18" customHeight="1">
      <c r="A15" s="59" t="s">
        <v>16</v>
      </c>
      <c r="B15" s="22">
        <v>1332440</v>
      </c>
      <c r="C15" s="22">
        <v>1332440</v>
      </c>
      <c r="D15" s="22">
        <v>0</v>
      </c>
      <c r="E15" s="22">
        <v>0</v>
      </c>
      <c r="F15" s="23">
        <f t="shared" si="0"/>
        <v>0</v>
      </c>
    </row>
    <row r="16" spans="1:6" ht="18" customHeight="1">
      <c r="A16" s="59" t="s">
        <v>17</v>
      </c>
      <c r="B16" s="22">
        <v>3955149</v>
      </c>
      <c r="C16" s="22">
        <v>3955149</v>
      </c>
      <c r="D16" s="22">
        <v>0</v>
      </c>
      <c r="E16" s="22">
        <v>0</v>
      </c>
      <c r="F16" s="23">
        <f t="shared" si="0"/>
        <v>0</v>
      </c>
    </row>
    <row r="17" spans="1:6" ht="18" customHeight="1">
      <c r="A17" s="59" t="s">
        <v>62</v>
      </c>
      <c r="B17" s="22">
        <v>0</v>
      </c>
      <c r="C17" s="22">
        <v>0</v>
      </c>
      <c r="D17" s="22">
        <v>0</v>
      </c>
      <c r="E17" s="22">
        <v>0</v>
      </c>
      <c r="F17" s="23">
        <f t="shared" si="0"/>
        <v>0</v>
      </c>
    </row>
    <row r="18" spans="1:6" ht="18" customHeight="1">
      <c r="A18" s="59" t="s">
        <v>18</v>
      </c>
      <c r="B18" s="22">
        <v>3403908</v>
      </c>
      <c r="C18" s="22">
        <f>2951551+103927</f>
        <v>3055478</v>
      </c>
      <c r="D18" s="22">
        <v>348430</v>
      </c>
      <c r="E18" s="22">
        <v>0</v>
      </c>
      <c r="F18" s="23">
        <f t="shared" si="0"/>
        <v>0</v>
      </c>
    </row>
    <row r="19" spans="1:6" ht="18" customHeight="1">
      <c r="A19" s="59" t="s">
        <v>19</v>
      </c>
      <c r="B19" s="22">
        <v>35320710</v>
      </c>
      <c r="C19" s="22">
        <f>2874845.7+20572620+718898.31+1847409.25-269965+4318435</f>
        <v>30062243.259999998</v>
      </c>
      <c r="D19" s="22">
        <v>5258467</v>
      </c>
      <c r="E19" s="22">
        <v>0</v>
      </c>
      <c r="F19" s="23">
        <f t="shared" si="0"/>
        <v>-0.25999999791383743</v>
      </c>
    </row>
    <row r="20" spans="1:6" ht="18" customHeight="1">
      <c r="A20" s="59" t="s">
        <v>20</v>
      </c>
      <c r="B20" s="22">
        <v>49845885</v>
      </c>
      <c r="C20" s="22">
        <f>37661334+2215374</f>
        <v>39876708</v>
      </c>
      <c r="D20" s="22">
        <v>9969177</v>
      </c>
      <c r="E20" s="22">
        <v>0</v>
      </c>
      <c r="F20" s="23">
        <f t="shared" si="0"/>
        <v>0</v>
      </c>
    </row>
    <row r="21" spans="1:6" ht="18" customHeight="1">
      <c r="A21" s="59" t="s">
        <v>21</v>
      </c>
      <c r="B21" s="22">
        <v>2094711</v>
      </c>
      <c r="C21" s="22">
        <v>2094710.76</v>
      </c>
      <c r="D21" s="22">
        <v>0</v>
      </c>
      <c r="E21" s="22">
        <v>0</v>
      </c>
      <c r="F21" s="23">
        <f t="shared" si="0"/>
        <v>0.23999999999068677</v>
      </c>
    </row>
    <row r="22" spans="1:6" ht="18" customHeight="1">
      <c r="A22" s="59" t="s">
        <v>22</v>
      </c>
      <c r="B22" s="22">
        <v>771735</v>
      </c>
      <c r="C22" s="22">
        <v>771735</v>
      </c>
      <c r="D22" s="22">
        <v>0</v>
      </c>
      <c r="E22" s="22">
        <v>0</v>
      </c>
      <c r="F22" s="23">
        <f t="shared" si="0"/>
        <v>0</v>
      </c>
    </row>
    <row r="23" spans="1:6" ht="18" customHeight="1">
      <c r="A23" s="59" t="s">
        <v>23</v>
      </c>
      <c r="B23" s="22">
        <v>165372</v>
      </c>
      <c r="C23" s="22">
        <v>165372</v>
      </c>
      <c r="D23" s="22">
        <v>0</v>
      </c>
      <c r="E23" s="22">
        <v>0</v>
      </c>
      <c r="F23" s="23">
        <f t="shared" si="0"/>
        <v>0</v>
      </c>
    </row>
    <row r="24" spans="1:6" ht="18" customHeight="1">
      <c r="A24" s="59" t="s">
        <v>24</v>
      </c>
      <c r="B24" s="22">
        <v>1157604</v>
      </c>
      <c r="C24" s="22">
        <v>1157604</v>
      </c>
      <c r="D24" s="22">
        <v>0</v>
      </c>
      <c r="E24" s="22">
        <v>0</v>
      </c>
      <c r="F24" s="23">
        <f t="shared" si="0"/>
        <v>0</v>
      </c>
    </row>
    <row r="25" spans="1:6" ht="18" customHeight="1">
      <c r="A25" s="59" t="s">
        <v>25</v>
      </c>
      <c r="B25" s="22">
        <v>1474566</v>
      </c>
      <c r="C25" s="22">
        <v>1474566</v>
      </c>
      <c r="D25" s="22">
        <v>0</v>
      </c>
      <c r="E25" s="22">
        <v>0</v>
      </c>
      <c r="F25" s="23">
        <f t="shared" si="0"/>
        <v>0</v>
      </c>
    </row>
    <row r="26" spans="1:6" ht="18" customHeight="1">
      <c r="A26" s="59" t="s">
        <v>26</v>
      </c>
      <c r="B26" s="22">
        <v>28650705</v>
      </c>
      <c r="C26" s="22">
        <v>28650705</v>
      </c>
      <c r="D26" s="22">
        <v>0</v>
      </c>
      <c r="E26" s="22">
        <v>0</v>
      </c>
      <c r="F26" s="23">
        <f t="shared" si="0"/>
        <v>0</v>
      </c>
    </row>
    <row r="27" spans="1:6" ht="18" customHeight="1">
      <c r="A27" s="59" t="s">
        <v>64</v>
      </c>
      <c r="B27" s="22">
        <v>85083909</v>
      </c>
      <c r="C27" s="22">
        <f>76678150+44350.93</f>
        <v>76722500.93</v>
      </c>
      <c r="D27" s="22">
        <f>2733500-44350.93</f>
        <v>2689149.07</v>
      </c>
      <c r="E27" s="22">
        <v>0</v>
      </c>
      <c r="F27" s="23">
        <f t="shared" si="0"/>
        <v>5672258.999999993</v>
      </c>
    </row>
    <row r="28" spans="1:6" ht="18" customHeight="1">
      <c r="A28" s="59" t="s">
        <v>52</v>
      </c>
      <c r="B28" s="22">
        <v>139131</v>
      </c>
      <c r="C28" s="22">
        <v>139131</v>
      </c>
      <c r="D28" s="22">
        <v>0</v>
      </c>
      <c r="E28" s="22">
        <v>0</v>
      </c>
      <c r="F28" s="23">
        <f t="shared" si="0"/>
        <v>0</v>
      </c>
    </row>
    <row r="29" spans="1:6" ht="18" customHeight="1">
      <c r="A29" s="59" t="s">
        <v>27</v>
      </c>
      <c r="B29" s="22">
        <v>55125</v>
      </c>
      <c r="C29" s="22">
        <v>55125</v>
      </c>
      <c r="D29" s="22">
        <v>0</v>
      </c>
      <c r="E29" s="22">
        <v>0</v>
      </c>
      <c r="F29" s="23">
        <f t="shared" si="0"/>
        <v>0</v>
      </c>
    </row>
    <row r="30" spans="1:6" ht="18" customHeight="1">
      <c r="A30" s="59" t="s">
        <v>28</v>
      </c>
      <c r="B30" s="22">
        <f>103125+156185</f>
        <v>259310</v>
      </c>
      <c r="C30" s="22">
        <f>14975+40102.88</f>
        <v>55077.88</v>
      </c>
      <c r="D30" s="22">
        <v>0</v>
      </c>
      <c r="E30" s="22">
        <v>0</v>
      </c>
      <c r="F30" s="23">
        <f t="shared" si="0"/>
        <v>204232.12</v>
      </c>
    </row>
    <row r="31" spans="1:6" ht="18" customHeight="1">
      <c r="A31" s="59" t="s">
        <v>29</v>
      </c>
      <c r="B31" s="22">
        <v>385869</v>
      </c>
      <c r="C31" s="22">
        <v>385869</v>
      </c>
      <c r="D31" s="22">
        <v>0</v>
      </c>
      <c r="E31" s="22">
        <v>0</v>
      </c>
      <c r="F31" s="23">
        <f t="shared" si="0"/>
        <v>0</v>
      </c>
    </row>
    <row r="32" spans="1:6" ht="18" customHeight="1">
      <c r="A32" s="59" t="s">
        <v>30</v>
      </c>
      <c r="B32" s="22">
        <v>55125</v>
      </c>
      <c r="C32" s="22">
        <v>55125</v>
      </c>
      <c r="D32" s="22">
        <v>0</v>
      </c>
      <c r="E32" s="22">
        <v>0</v>
      </c>
      <c r="F32" s="23">
        <f t="shared" si="0"/>
        <v>0</v>
      </c>
    </row>
    <row r="33" spans="1:6" ht="18" customHeight="1">
      <c r="A33" s="59" t="s">
        <v>31</v>
      </c>
      <c r="B33" s="22">
        <v>8750937</v>
      </c>
      <c r="C33" s="22">
        <v>8750937</v>
      </c>
      <c r="D33" s="22">
        <v>0</v>
      </c>
      <c r="E33" s="22">
        <v>0</v>
      </c>
      <c r="F33" s="23">
        <f t="shared" si="0"/>
        <v>0</v>
      </c>
    </row>
    <row r="34" spans="1:6" ht="18" customHeight="1">
      <c r="A34" s="59" t="s">
        <v>32</v>
      </c>
      <c r="B34" s="22">
        <v>1322976</v>
      </c>
      <c r="C34" s="22">
        <v>1322975.6</v>
      </c>
      <c r="D34" s="22">
        <v>0</v>
      </c>
      <c r="E34" s="22">
        <v>0</v>
      </c>
      <c r="F34" s="23">
        <f t="shared" si="0"/>
        <v>0.39999999990686774</v>
      </c>
    </row>
    <row r="35" spans="1:6" ht="18" customHeight="1">
      <c r="A35" s="59" t="s">
        <v>33</v>
      </c>
      <c r="B35" s="22">
        <v>3086946</v>
      </c>
      <c r="C35" s="22">
        <v>3086946</v>
      </c>
      <c r="D35" s="22">
        <v>0</v>
      </c>
      <c r="E35" s="22">
        <v>0</v>
      </c>
      <c r="F35" s="23">
        <f t="shared" si="0"/>
        <v>0</v>
      </c>
    </row>
    <row r="36" spans="1:6" ht="18" customHeight="1">
      <c r="A36" s="59" t="s">
        <v>34</v>
      </c>
      <c r="B36" s="22">
        <v>1860435</v>
      </c>
      <c r="C36" s="22">
        <v>1860435</v>
      </c>
      <c r="D36" s="22">
        <v>0</v>
      </c>
      <c r="E36" s="22">
        <v>0</v>
      </c>
      <c r="F36" s="23">
        <f t="shared" si="0"/>
        <v>0</v>
      </c>
    </row>
    <row r="37" spans="1:6" ht="18" customHeight="1">
      <c r="A37" s="59" t="s">
        <v>35</v>
      </c>
      <c r="B37" s="22">
        <v>1515909</v>
      </c>
      <c r="C37" s="22">
        <v>1515909</v>
      </c>
      <c r="D37" s="22">
        <v>0</v>
      </c>
      <c r="E37" s="22">
        <v>0</v>
      </c>
      <c r="F37" s="23">
        <f t="shared" si="0"/>
        <v>0</v>
      </c>
    </row>
    <row r="38" spans="1:6" ht="18" customHeight="1">
      <c r="A38" s="59" t="s">
        <v>36</v>
      </c>
      <c r="B38" s="22">
        <v>24530184</v>
      </c>
      <c r="C38" s="22">
        <v>0</v>
      </c>
      <c r="D38" s="22">
        <v>0</v>
      </c>
      <c r="E38" s="22">
        <v>0</v>
      </c>
      <c r="F38" s="23">
        <f t="shared" si="0"/>
        <v>24530184</v>
      </c>
    </row>
    <row r="39" spans="1:6" ht="18" customHeight="1">
      <c r="A39" s="61" t="s">
        <v>96</v>
      </c>
      <c r="B39" s="22">
        <v>454773</v>
      </c>
      <c r="C39" s="22">
        <v>454773</v>
      </c>
      <c r="D39" s="22">
        <v>0</v>
      </c>
      <c r="E39" s="22">
        <v>0</v>
      </c>
      <c r="F39" s="23">
        <f t="shared" si="0"/>
        <v>0</v>
      </c>
    </row>
    <row r="40" spans="1:6" ht="18" customHeight="1">
      <c r="A40" s="59" t="s">
        <v>56</v>
      </c>
      <c r="B40" s="22">
        <v>0</v>
      </c>
      <c r="C40" s="22">
        <v>0</v>
      </c>
      <c r="D40" s="22">
        <v>0</v>
      </c>
      <c r="E40" s="22">
        <v>0</v>
      </c>
      <c r="F40" s="23">
        <f t="shared" si="0"/>
        <v>0</v>
      </c>
    </row>
    <row r="41" spans="1:6" ht="18" customHeight="1">
      <c r="A41" s="59" t="s">
        <v>57</v>
      </c>
      <c r="B41" s="22">
        <v>592583</v>
      </c>
      <c r="C41" s="22">
        <v>592583</v>
      </c>
      <c r="D41" s="22">
        <v>0</v>
      </c>
      <c r="E41" s="22">
        <v>0</v>
      </c>
      <c r="F41" s="23">
        <f t="shared" si="0"/>
        <v>0</v>
      </c>
    </row>
    <row r="42" spans="1:6" ht="18" customHeight="1">
      <c r="A42" s="59" t="s">
        <v>38</v>
      </c>
      <c r="B42" s="22">
        <v>13023048</v>
      </c>
      <c r="C42" s="22">
        <v>13023048</v>
      </c>
      <c r="D42" s="22">
        <v>0</v>
      </c>
      <c r="E42" s="22">
        <v>0</v>
      </c>
      <c r="F42" s="23">
        <f t="shared" si="0"/>
        <v>0</v>
      </c>
    </row>
    <row r="43" spans="1:6" ht="18" customHeight="1">
      <c r="A43" s="59" t="s">
        <v>39</v>
      </c>
      <c r="B43" s="22">
        <v>6766473</v>
      </c>
      <c r="C43" s="22">
        <v>6335623</v>
      </c>
      <c r="D43" s="22">
        <v>430850</v>
      </c>
      <c r="E43" s="22">
        <v>0</v>
      </c>
      <c r="F43" s="23">
        <f t="shared" si="0"/>
        <v>0</v>
      </c>
    </row>
    <row r="44" spans="1:6" ht="18" customHeight="1">
      <c r="A44" s="59" t="s">
        <v>40</v>
      </c>
      <c r="B44" s="22">
        <v>6670005</v>
      </c>
      <c r="C44" s="22">
        <v>6636105</v>
      </c>
      <c r="D44" s="22">
        <v>33900</v>
      </c>
      <c r="E44" s="22">
        <v>0</v>
      </c>
      <c r="F44" s="23">
        <f t="shared" si="0"/>
        <v>0</v>
      </c>
    </row>
    <row r="45" spans="1:6" ht="18" customHeight="1">
      <c r="A45" s="59" t="s">
        <v>41</v>
      </c>
      <c r="B45" s="22">
        <v>65746</v>
      </c>
      <c r="C45" s="22">
        <f>5333+1500+182+1000+671</f>
        <v>8686</v>
      </c>
      <c r="D45" s="22">
        <v>0</v>
      </c>
      <c r="E45" s="22">
        <v>0</v>
      </c>
      <c r="F45" s="23">
        <f t="shared" si="0"/>
        <v>57060</v>
      </c>
    </row>
    <row r="46" spans="1:6" ht="18" customHeight="1">
      <c r="A46" s="59" t="s">
        <v>42</v>
      </c>
      <c r="B46" s="22">
        <v>179154</v>
      </c>
      <c r="C46" s="22">
        <v>0</v>
      </c>
      <c r="D46" s="22">
        <v>0</v>
      </c>
      <c r="E46" s="22">
        <v>0</v>
      </c>
      <c r="F46" s="23">
        <f t="shared" si="0"/>
        <v>179154</v>
      </c>
    </row>
    <row r="47" spans="1:6" ht="18" customHeight="1">
      <c r="A47" s="59" t="s">
        <v>43</v>
      </c>
      <c r="B47" s="22">
        <v>5555291</v>
      </c>
      <c r="C47" s="22">
        <v>0</v>
      </c>
      <c r="D47" s="22">
        <v>0</v>
      </c>
      <c r="E47" s="22">
        <v>0</v>
      </c>
      <c r="F47" s="23">
        <f t="shared" si="0"/>
        <v>5555291</v>
      </c>
    </row>
    <row r="48" spans="1:6" ht="18" customHeight="1">
      <c r="A48" s="59" t="s">
        <v>44</v>
      </c>
      <c r="B48" s="22">
        <v>29298411</v>
      </c>
      <c r="C48" s="22">
        <f>26043034+2690377</f>
        <v>28733411</v>
      </c>
      <c r="D48" s="22">
        <v>565000</v>
      </c>
      <c r="E48" s="22">
        <v>0</v>
      </c>
      <c r="F48" s="23">
        <f t="shared" si="0"/>
        <v>0</v>
      </c>
    </row>
    <row r="49" spans="1:6" ht="18" customHeight="1">
      <c r="A49" s="59" t="s">
        <v>45</v>
      </c>
      <c r="B49" s="22">
        <v>116499999</v>
      </c>
      <c r="C49" s="22">
        <f>113858703+2000000</f>
        <v>115858703</v>
      </c>
      <c r="D49" s="22">
        <v>641296</v>
      </c>
      <c r="E49" s="22">
        <f>2000000-2000000</f>
        <v>0</v>
      </c>
      <c r="F49" s="23">
        <f t="shared" si="0"/>
        <v>0</v>
      </c>
    </row>
    <row r="50" spans="1:6" ht="18" customHeight="1" thickBot="1">
      <c r="A50" s="62" t="s">
        <v>46</v>
      </c>
      <c r="B50" s="22">
        <v>332255</v>
      </c>
      <c r="C50" s="22">
        <v>105500</v>
      </c>
      <c r="D50" s="22">
        <v>0</v>
      </c>
      <c r="E50" s="22">
        <v>0</v>
      </c>
      <c r="F50" s="23">
        <f>B50-C50-D50-E50</f>
        <v>226755</v>
      </c>
    </row>
    <row r="51" spans="1:6" ht="19.5" customHeight="1" thickBot="1">
      <c r="A51" s="65" t="s">
        <v>2</v>
      </c>
      <c r="B51" s="16">
        <f>SUM(B8:B50)</f>
        <v>472567009</v>
      </c>
      <c r="C51" s="17">
        <f>SUM(C8:C50)</f>
        <v>412139254.71000004</v>
      </c>
      <c r="D51" s="17">
        <f>SUM(D8:D50)</f>
        <v>21991236.07</v>
      </c>
      <c r="E51" s="18">
        <f>SUM(E8:E50)</f>
        <v>0</v>
      </c>
      <c r="F51" s="19">
        <f>SUM(F8:F50)</f>
        <v>38436518.21999999</v>
      </c>
    </row>
    <row r="52" spans="1:6" ht="15.75">
      <c r="A52" s="69"/>
      <c r="B52" s="12"/>
      <c r="C52" s="12"/>
      <c r="D52" s="12"/>
      <c r="E52" s="12"/>
      <c r="F52" s="12"/>
    </row>
    <row r="53" spans="1:6" ht="15.75">
      <c r="A53" s="69" t="s">
        <v>98</v>
      </c>
      <c r="B53" s="12"/>
      <c r="C53" s="12"/>
      <c r="D53" s="12"/>
      <c r="E53" s="12"/>
      <c r="F53" s="12"/>
    </row>
    <row r="54" spans="1:6" ht="15.75">
      <c r="A54" s="69"/>
      <c r="B54" s="12"/>
      <c r="C54" s="12"/>
      <c r="D54" s="12"/>
      <c r="E54" s="12"/>
      <c r="F54" s="12"/>
    </row>
    <row r="55" ht="15.75">
      <c r="A55" s="42"/>
    </row>
    <row r="56" spans="1:6" ht="16.5" thickBot="1">
      <c r="A56" s="39"/>
      <c r="B56" s="12"/>
      <c r="C56" s="12"/>
      <c r="D56" s="12"/>
      <c r="E56" s="12"/>
      <c r="F56" s="12"/>
    </row>
    <row r="57" spans="1:7" ht="15.75" customHeight="1" thickBot="1">
      <c r="A57" s="70" t="s">
        <v>67</v>
      </c>
      <c r="B57" s="49">
        <f>B10+B11+B13+B15+B17+B22+B28+B30+B36+B38+B39+B40+B45+B46+B47+B50</f>
        <v>37808537</v>
      </c>
      <c r="C57" s="49">
        <f>C10+C11+C13+C15+C17+C22+C28+C30+C36+C38+C39+C40+C45+C46+C47+C50</f>
        <v>5044278.55</v>
      </c>
      <c r="D57" s="49">
        <f>D10+D11+D13+D15+D17+D22+D28+D30+D36+D38+D39+D40+D45+D46+D47+D50</f>
        <v>0</v>
      </c>
      <c r="E57" s="49">
        <f>E10+E11+E13+E15+E17+E22+E28+E30+E36+E38+E39+E40+E45+E46+E47+E50</f>
        <v>0</v>
      </c>
      <c r="F57" s="50">
        <f>B57-C57-D57-E57</f>
        <v>32764258.45</v>
      </c>
      <c r="G57" s="41"/>
    </row>
    <row r="58" spans="1:6" ht="15.75">
      <c r="A58" s="12"/>
      <c r="B58" s="12"/>
      <c r="C58" s="12"/>
      <c r="D58" s="12"/>
      <c r="E58" s="12"/>
      <c r="F58" s="1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1111">
    <pageSetUpPr fitToPage="1"/>
  </sheetPr>
  <dimension ref="A1:F61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4.796875" style="2" customWidth="1"/>
    <col min="2" max="3" width="15.796875" style="2" customWidth="1"/>
    <col min="4" max="4" width="12.796875" style="2" customWidth="1"/>
    <col min="5" max="6" width="15.796875" style="2" customWidth="1"/>
    <col min="7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84</v>
      </c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121</v>
      </c>
      <c r="B5" s="6"/>
      <c r="C5" s="8"/>
      <c r="D5" s="8"/>
      <c r="E5" s="6"/>
      <c r="F5" s="6"/>
    </row>
    <row r="6" spans="1:6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ht="32.25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56" t="s">
        <v>10</v>
      </c>
      <c r="B8" s="25">
        <f>YR94!B8+YR95!B8+YR96!B8</f>
        <v>7845588</v>
      </c>
      <c r="C8" s="25">
        <f>YR94!C8+YR95!C8+YR96!C8+91869+42162</f>
        <v>7276402</v>
      </c>
      <c r="D8" s="25">
        <f>YR94!D8+YR95!D8+YR96!D8-91869-42162</f>
        <v>569186</v>
      </c>
      <c r="E8" s="25">
        <f>YR94!E8+YR95!E8+YR96!E8</f>
        <v>0</v>
      </c>
      <c r="F8" s="26">
        <f>B8-C8-D8-E8</f>
        <v>0</v>
      </c>
    </row>
    <row r="9" spans="1:6" ht="18" customHeight="1">
      <c r="A9" s="59" t="s">
        <v>65</v>
      </c>
      <c r="B9" s="27">
        <f>YR94!B9+YR95!B9+YR96!B9</f>
        <v>4123053</v>
      </c>
      <c r="C9" s="27">
        <f>YR94!C9+YR95!C9+YR96!C9</f>
        <v>4006425</v>
      </c>
      <c r="D9" s="27">
        <f>YR94!D9+YR95!D9+YR96!D9</f>
        <v>116628</v>
      </c>
      <c r="E9" s="27">
        <f>YR94!E9+YR95!E9+YR96!E9</f>
        <v>0</v>
      </c>
      <c r="F9" s="28">
        <f aca="true" t="shared" si="0" ref="F9:F53">B9-C9-D9-E9</f>
        <v>0</v>
      </c>
    </row>
    <row r="10" spans="1:6" ht="18" customHeight="1">
      <c r="A10" s="60" t="s">
        <v>12</v>
      </c>
      <c r="B10" s="27">
        <f>YR94!B10+YR95!B10+YR96!B10</f>
        <v>63182</v>
      </c>
      <c r="C10" s="27">
        <f>63182</f>
        <v>63182</v>
      </c>
      <c r="D10" s="27">
        <f>YR94!D10+YR95!D10+YR96!D10</f>
        <v>0</v>
      </c>
      <c r="E10" s="27">
        <f>YR94!E10+YR95!E10+YR96!E10</f>
        <v>0</v>
      </c>
      <c r="F10" s="28">
        <f t="shared" si="0"/>
        <v>0</v>
      </c>
    </row>
    <row r="11" spans="1:6" ht="18" customHeight="1">
      <c r="A11" s="59" t="s">
        <v>13</v>
      </c>
      <c r="B11" s="27">
        <f>YR94!B11+YR95!B11+YR96!B11</f>
        <v>160066</v>
      </c>
      <c r="C11" s="27">
        <f>YR94!C11+YR95!C11+YR96!C11</f>
        <v>0</v>
      </c>
      <c r="D11" s="27">
        <f>YR94!D11+YR95!D11+YR96!D11</f>
        <v>0</v>
      </c>
      <c r="E11" s="27">
        <f>YR94!E11+YR95!E11+YR96!E11</f>
        <v>0</v>
      </c>
      <c r="F11" s="28">
        <f t="shared" si="0"/>
        <v>160066</v>
      </c>
    </row>
    <row r="12" spans="1:6" ht="18" customHeight="1">
      <c r="A12" s="59" t="s">
        <v>14</v>
      </c>
      <c r="B12" s="27">
        <f>YR94!B12+YR95!B12+YR96!B12</f>
        <v>5452741</v>
      </c>
      <c r="C12" s="27">
        <f>YR94!C12+YR95!C12+YR96!C12</f>
        <v>5452741</v>
      </c>
      <c r="D12" s="27">
        <f>YR94!D12+YR95!D12+YR96!D12</f>
        <v>0</v>
      </c>
      <c r="E12" s="27">
        <f>YR94!E12+YR95!E12+YR96!E12</f>
        <v>0</v>
      </c>
      <c r="F12" s="28">
        <f t="shared" si="0"/>
        <v>0</v>
      </c>
    </row>
    <row r="13" spans="1:6" ht="18" customHeight="1">
      <c r="A13" s="59" t="s">
        <v>48</v>
      </c>
      <c r="B13" s="27">
        <f>YR94!B14+YR95!B14+YR96!B14</f>
        <v>529218</v>
      </c>
      <c r="C13" s="27">
        <f>YR94!C14+YR95!C14+YR96!C14</f>
        <v>529218</v>
      </c>
      <c r="D13" s="27">
        <f>YR94!D14+YR95!D14+YR96!D14</f>
        <v>0</v>
      </c>
      <c r="E13" s="27">
        <f>YR94!E14+YR95!E14+YR96!E14</f>
        <v>0</v>
      </c>
      <c r="F13" s="28">
        <f t="shared" si="0"/>
        <v>0</v>
      </c>
    </row>
    <row r="14" spans="1:6" ht="18" customHeight="1">
      <c r="A14" s="59" t="s">
        <v>15</v>
      </c>
      <c r="B14" s="27">
        <f>YR94!B15+YR95!B15+YR96!B15</f>
        <v>16253343</v>
      </c>
      <c r="C14" s="27">
        <f>YR94!C15+YR95!C15+YR96!C15</f>
        <v>14815493</v>
      </c>
      <c r="D14" s="27">
        <f>YR94!D15+YR95!D15+YR96!D15</f>
        <v>1437850</v>
      </c>
      <c r="E14" s="27">
        <f>YR94!E15+YR95!E15+YR96!E15</f>
        <v>0</v>
      </c>
      <c r="F14" s="28">
        <f t="shared" si="0"/>
        <v>0</v>
      </c>
    </row>
    <row r="15" spans="1:6" ht="18" customHeight="1">
      <c r="A15" s="59" t="s">
        <v>49</v>
      </c>
      <c r="B15" s="27">
        <f>YR94!B16+YR95!B16+YR96!B16</f>
        <v>122023</v>
      </c>
      <c r="C15" s="27">
        <f>YR94!C16+YR95!C16+YR96!C16</f>
        <v>122023</v>
      </c>
      <c r="D15" s="27">
        <f>YR94!D16+YR95!D16+YR96!D16</f>
        <v>0</v>
      </c>
      <c r="E15" s="27">
        <f>YR94!E16+YR95!E16+YR96!E16</f>
        <v>0</v>
      </c>
      <c r="F15" s="28">
        <f t="shared" si="0"/>
        <v>0</v>
      </c>
    </row>
    <row r="16" spans="1:6" ht="18" customHeight="1">
      <c r="A16" s="59" t="s">
        <v>16</v>
      </c>
      <c r="B16" s="27">
        <f>YR94!B17+YR95!B17+YR96!B17</f>
        <v>1918089</v>
      </c>
      <c r="C16" s="27">
        <f>YR94!C17+YR95!C17+YR96!C17</f>
        <v>1918089</v>
      </c>
      <c r="D16" s="27">
        <f>YR94!D17+YR95!D17+YR96!D17</f>
        <v>0</v>
      </c>
      <c r="E16" s="27">
        <f>YR94!E17+YR95!E17+YR96!E17</f>
        <v>0</v>
      </c>
      <c r="F16" s="28">
        <f t="shared" si="0"/>
        <v>0</v>
      </c>
    </row>
    <row r="17" spans="1:6" ht="18" customHeight="1">
      <c r="A17" s="59" t="s">
        <v>17</v>
      </c>
      <c r="B17" s="27">
        <f>YR94!B18+YR95!B18+YR96!B18</f>
        <v>3517291</v>
      </c>
      <c r="C17" s="27">
        <f>YR94!C18+YR95!C18+YR96!C18</f>
        <v>3312291</v>
      </c>
      <c r="D17" s="27">
        <f>YR94!D18+YR95!D18+YR96!D18</f>
        <v>205000</v>
      </c>
      <c r="E17" s="27">
        <f>YR94!E18+YR95!E18+YR96!E18</f>
        <v>0</v>
      </c>
      <c r="F17" s="28">
        <f t="shared" si="0"/>
        <v>0</v>
      </c>
    </row>
    <row r="18" spans="1:6" ht="18" customHeight="1">
      <c r="A18" s="59" t="s">
        <v>62</v>
      </c>
      <c r="B18" s="27">
        <f>YR94!B19+YR95!B19+YR96!B19</f>
        <v>0</v>
      </c>
      <c r="C18" s="27">
        <f>YR94!C19+YR95!C19+YR96!C19</f>
        <v>0</v>
      </c>
      <c r="D18" s="27">
        <f>YR94!D19+YR95!D19+YR96!D19</f>
        <v>0</v>
      </c>
      <c r="E18" s="27">
        <f>YR94!E19+YR95!E19+YR96!E19</f>
        <v>0</v>
      </c>
      <c r="F18" s="28">
        <f t="shared" si="0"/>
        <v>0</v>
      </c>
    </row>
    <row r="19" spans="1:6" ht="18" customHeight="1">
      <c r="A19" s="59" t="s">
        <v>18</v>
      </c>
      <c r="B19" s="27">
        <f>YR94!B20+YR95!B20+YR96!B20</f>
        <v>3064031</v>
      </c>
      <c r="C19" s="27">
        <f>YR94!C20+YR95!C20+YR96!C20</f>
        <v>2960591</v>
      </c>
      <c r="D19" s="27">
        <f>YR94!D20+YR95!D20+YR96!D20</f>
        <v>103440</v>
      </c>
      <c r="E19" s="27">
        <f>YR94!E20+YR95!E20+YR96!E20</f>
        <v>0</v>
      </c>
      <c r="F19" s="28">
        <f t="shared" si="0"/>
        <v>0</v>
      </c>
    </row>
    <row r="20" spans="1:6" ht="18" customHeight="1">
      <c r="A20" s="59" t="s">
        <v>19</v>
      </c>
      <c r="B20" s="27">
        <f>YR94!B21+YR95!B21+YR96!B21-693288</f>
        <v>31398558</v>
      </c>
      <c r="C20" s="27">
        <f>YR94!C21+YR95!C21+YR96!C21</f>
        <v>30073555</v>
      </c>
      <c r="D20" s="27">
        <f>YR94!D21+YR95!D21+YR96!D21</f>
        <v>1325003</v>
      </c>
      <c r="E20" s="27">
        <f>YR94!E21+YR95!E21+YR96!E21</f>
        <v>0</v>
      </c>
      <c r="F20" s="28">
        <f t="shared" si="0"/>
        <v>0</v>
      </c>
    </row>
    <row r="21" spans="1:6" ht="18" customHeight="1">
      <c r="A21" s="59" t="s">
        <v>20</v>
      </c>
      <c r="B21" s="27">
        <f>YR94!B23+YR95!B23+YR96!B23-171486</f>
        <v>46731522</v>
      </c>
      <c r="C21" s="27">
        <f>YR94!C23+YR95!C23+YR96!C23</f>
        <v>45394604</v>
      </c>
      <c r="D21" s="27">
        <f>YR94!D23+YR95!D23+YR96!D23</f>
        <v>1336918</v>
      </c>
      <c r="E21" s="27">
        <f>YR94!E23+YR95!E23+YR96!E23</f>
        <v>0</v>
      </c>
      <c r="F21" s="28">
        <f t="shared" si="0"/>
        <v>0</v>
      </c>
    </row>
    <row r="22" spans="1:6" ht="18" customHeight="1">
      <c r="A22" s="59" t="s">
        <v>21</v>
      </c>
      <c r="B22" s="27">
        <f>YR94!B24+YR95!B24+YR96!B24</f>
        <v>1882874</v>
      </c>
      <c r="C22" s="27">
        <f>YR94!C24+YR95!C24+YR96!C24</f>
        <v>1882874</v>
      </c>
      <c r="D22" s="27">
        <f>YR94!D24+YR95!D24+YR96!D24</f>
        <v>0</v>
      </c>
      <c r="E22" s="27">
        <f>YR94!E24+YR95!E24+YR96!E24</f>
        <v>0</v>
      </c>
      <c r="F22" s="28">
        <f t="shared" si="0"/>
        <v>0</v>
      </c>
    </row>
    <row r="23" spans="1:6" ht="18" customHeight="1">
      <c r="A23" s="59" t="s">
        <v>22</v>
      </c>
      <c r="B23" s="27">
        <f>YR94!B25+YR95!B25+YR96!B25</f>
        <v>871800</v>
      </c>
      <c r="C23" s="27">
        <f>YR94!C25+YR95!C25+YR96!C25</f>
        <v>871800</v>
      </c>
      <c r="D23" s="27">
        <f>YR94!D25+YR95!D25+YR96!D25</f>
        <v>0</v>
      </c>
      <c r="E23" s="27">
        <f>YR94!E25+YR95!E25+YR96!E25</f>
        <v>0</v>
      </c>
      <c r="F23" s="28">
        <f t="shared" si="0"/>
        <v>0</v>
      </c>
    </row>
    <row r="24" spans="1:6" ht="18" customHeight="1">
      <c r="A24" s="59" t="s">
        <v>23</v>
      </c>
      <c r="B24" s="27">
        <f>YR94!B26+YR95!B26+YR96!B26</f>
        <v>156911</v>
      </c>
      <c r="C24" s="27">
        <f>YR94!C26+YR95!C26+YR96!C26</f>
        <v>156911</v>
      </c>
      <c r="D24" s="27">
        <f>YR94!D26+YR95!D26+YR96!D26</f>
        <v>0</v>
      </c>
      <c r="E24" s="27">
        <f>YR94!E26+YR95!E26+YR96!E26</f>
        <v>0</v>
      </c>
      <c r="F24" s="28">
        <f t="shared" si="0"/>
        <v>0</v>
      </c>
    </row>
    <row r="25" spans="1:6" ht="18" customHeight="1">
      <c r="A25" s="59" t="s">
        <v>24</v>
      </c>
      <c r="B25" s="27">
        <f>YR94!B27+YR95!B27+YR96!B27</f>
        <v>993714</v>
      </c>
      <c r="C25" s="27">
        <f>YR94!C27+YR95!C27+YR96!C27</f>
        <v>993714</v>
      </c>
      <c r="D25" s="27">
        <f>YR94!D27+YR95!D27+YR96!D27</f>
        <v>0</v>
      </c>
      <c r="E25" s="27">
        <f>YR94!E27+YR95!E27+YR96!E27</f>
        <v>0</v>
      </c>
      <c r="F25" s="28">
        <f t="shared" si="0"/>
        <v>0</v>
      </c>
    </row>
    <row r="26" spans="1:6" ht="18" customHeight="1">
      <c r="A26" s="59" t="s">
        <v>25</v>
      </c>
      <c r="B26" s="27">
        <f>YR94!B28+YR95!B28+YR96!B28</f>
        <v>1268293</v>
      </c>
      <c r="C26" s="27">
        <f>YR94!C28+YR95!C28+YR96!C28</f>
        <v>1268293</v>
      </c>
      <c r="D26" s="27">
        <f>YR94!D28+YR95!D28+YR96!D28</f>
        <v>0</v>
      </c>
      <c r="E26" s="27">
        <f>YR94!E28+YR95!E28+YR96!E28</f>
        <v>0</v>
      </c>
      <c r="F26" s="28">
        <f t="shared" si="0"/>
        <v>0</v>
      </c>
    </row>
    <row r="27" spans="1:6" ht="18" customHeight="1">
      <c r="A27" s="59" t="s">
        <v>26</v>
      </c>
      <c r="B27" s="27">
        <f>YR94!B29+YR95!B29+YR96!B29-1568782</f>
        <v>22449969</v>
      </c>
      <c r="C27" s="27">
        <f>YR94!C29+YR95!C29+YR96!C29</f>
        <v>22449969</v>
      </c>
      <c r="D27" s="27">
        <f>YR94!D29+YR95!D29+YR96!D29</f>
        <v>0</v>
      </c>
      <c r="E27" s="27">
        <f>YR94!E29+YR95!E29+YR96!E29</f>
        <v>0</v>
      </c>
      <c r="F27" s="28">
        <f t="shared" si="0"/>
        <v>0</v>
      </c>
    </row>
    <row r="28" spans="1:6" ht="18" customHeight="1">
      <c r="A28" s="59" t="s">
        <v>64</v>
      </c>
      <c r="B28" s="27">
        <f>YR94!B30+YR95!B30+YR96!B30-5164674</f>
        <v>65152008</v>
      </c>
      <c r="C28" s="27">
        <f>YR94!C30+YR95!C30+YR96!C30</f>
        <v>65152008</v>
      </c>
      <c r="D28" s="27">
        <f>YR94!D30+YR95!D30+YR96!D30</f>
        <v>0</v>
      </c>
      <c r="E28" s="27">
        <f>YR94!E30+YR95!E30+YR96!E30</f>
        <v>0</v>
      </c>
      <c r="F28" s="28">
        <f t="shared" si="0"/>
        <v>0</v>
      </c>
    </row>
    <row r="29" spans="1:6" ht="18" customHeight="1">
      <c r="A29" s="59" t="s">
        <v>52</v>
      </c>
      <c r="B29" s="27">
        <f>YR94!B32+YR95!B32+YR96!B32</f>
        <v>0</v>
      </c>
      <c r="C29" s="27">
        <f>YR94!C32+YR95!C32+YR96!C32</f>
        <v>0</v>
      </c>
      <c r="D29" s="27">
        <f>YR94!D32+YR95!D32+YR96!D32</f>
        <v>0</v>
      </c>
      <c r="E29" s="27">
        <f>YR94!E32+YR95!E32+YR96!E32</f>
        <v>0</v>
      </c>
      <c r="F29" s="28">
        <f t="shared" si="0"/>
        <v>0</v>
      </c>
    </row>
    <row r="30" spans="1:6" ht="18" customHeight="1">
      <c r="A30" s="59" t="s">
        <v>27</v>
      </c>
      <c r="B30" s="27">
        <f>YR94!B33+YR95!B33+YR96!B33</f>
        <v>52304</v>
      </c>
      <c r="C30" s="27">
        <f>YR94!C33+YR95!C33+YR96!C33</f>
        <v>52304</v>
      </c>
      <c r="D30" s="27">
        <f>YR94!D33+YR95!D33+YR96!D33</f>
        <v>0</v>
      </c>
      <c r="E30" s="27">
        <f>YR94!E33+YR95!E33+YR96!E33</f>
        <v>0</v>
      </c>
      <c r="F30" s="28">
        <f t="shared" si="0"/>
        <v>0</v>
      </c>
    </row>
    <row r="31" spans="1:6" ht="18" customHeight="1">
      <c r="A31" s="59" t="s">
        <v>28</v>
      </c>
      <c r="B31" s="27">
        <f>YR94!B34+YR95!B34+YR96!B34</f>
        <v>0</v>
      </c>
      <c r="C31" s="27">
        <f>YR94!C34+YR95!C34+YR96!C34</f>
        <v>0</v>
      </c>
      <c r="D31" s="27">
        <f>YR94!D34+YR95!D34+YR96!D34</f>
        <v>0</v>
      </c>
      <c r="E31" s="27">
        <f>YR94!E34+YR95!E34+YR96!E34</f>
        <v>0</v>
      </c>
      <c r="F31" s="28">
        <f t="shared" si="0"/>
        <v>0</v>
      </c>
    </row>
    <row r="32" spans="1:6" ht="18" customHeight="1">
      <c r="A32" s="59" t="s">
        <v>29</v>
      </c>
      <c r="B32" s="27">
        <f>YR94!B35+YR95!B35+YR96!B35</f>
        <v>331238</v>
      </c>
      <c r="C32" s="27">
        <f>YR94!C35+YR95!C35+YR96!C35</f>
        <v>331238</v>
      </c>
      <c r="D32" s="27">
        <f>YR94!D35+YR95!D35+YR96!D35</f>
        <v>0</v>
      </c>
      <c r="E32" s="27">
        <f>YR94!E35+YR95!E35+YR96!E35</f>
        <v>0</v>
      </c>
      <c r="F32" s="28">
        <f t="shared" si="0"/>
        <v>0</v>
      </c>
    </row>
    <row r="33" spans="1:6" ht="18" customHeight="1">
      <c r="A33" s="59" t="s">
        <v>30</v>
      </c>
      <c r="B33" s="27">
        <f>YR94!B37+YR95!B37+YR96!B37</f>
        <v>52304</v>
      </c>
      <c r="C33" s="27">
        <f>YR94!C37+YR95!C37+YR96!C37</f>
        <v>52304</v>
      </c>
      <c r="D33" s="27">
        <f>YR94!D37+YR95!D37+YR96!D37</f>
        <v>0</v>
      </c>
      <c r="E33" s="27">
        <f>YR94!E37+YR95!E37+YR96!E37</f>
        <v>0</v>
      </c>
      <c r="F33" s="28">
        <f t="shared" si="0"/>
        <v>0</v>
      </c>
    </row>
    <row r="34" spans="1:6" ht="18" customHeight="1">
      <c r="A34" s="59" t="s">
        <v>31</v>
      </c>
      <c r="B34" s="27">
        <f>YR94!B38+YR95!B38+YR96!B38</f>
        <v>7997927</v>
      </c>
      <c r="C34" s="27">
        <f>YR94!C38+YR95!C38+YR96!C38</f>
        <v>7997927</v>
      </c>
      <c r="D34" s="27">
        <f>YR94!D38+YR95!D38+YR96!D38</f>
        <v>0</v>
      </c>
      <c r="E34" s="27">
        <f>YR94!E38+YR95!E38+YR96!E38</f>
        <v>0</v>
      </c>
      <c r="F34" s="28">
        <f t="shared" si="0"/>
        <v>0</v>
      </c>
    </row>
    <row r="35" spans="1:6" ht="18" customHeight="1">
      <c r="A35" s="59" t="s">
        <v>32</v>
      </c>
      <c r="B35" s="27">
        <f>YR94!B39+YR95!B39+YR96!B39</f>
        <v>1255284</v>
      </c>
      <c r="C35" s="27">
        <f>YR94!C39+YR95!C39+YR96!C39</f>
        <v>1255284</v>
      </c>
      <c r="D35" s="27">
        <f>YR94!D39+YR95!D39+YR96!D39</f>
        <v>0</v>
      </c>
      <c r="E35" s="27">
        <f>YR94!E39+YR95!E39+YR96!E39</f>
        <v>0</v>
      </c>
      <c r="F35" s="28">
        <f t="shared" si="0"/>
        <v>0</v>
      </c>
    </row>
    <row r="36" spans="1:6" ht="18" customHeight="1">
      <c r="A36" s="59" t="s">
        <v>33</v>
      </c>
      <c r="B36" s="27">
        <f>YR94!B40+YR95!B40+YR96!B40</f>
        <v>2894111</v>
      </c>
      <c r="C36" s="27">
        <f>YR94!C40+YR95!C40+YR96!C40</f>
        <v>2894111</v>
      </c>
      <c r="D36" s="27">
        <f>YR94!D40+YR95!D40+YR96!D40</f>
        <v>0</v>
      </c>
      <c r="E36" s="27">
        <f>YR94!E40+YR95!E40+YR96!E40</f>
        <v>0</v>
      </c>
      <c r="F36" s="28">
        <f t="shared" si="0"/>
        <v>0</v>
      </c>
    </row>
    <row r="37" spans="1:6" ht="18" customHeight="1">
      <c r="A37" s="59" t="s">
        <v>54</v>
      </c>
      <c r="B37" s="27">
        <f>YR94!B41+YR95!B41+YR96!B41</f>
        <v>16915</v>
      </c>
      <c r="C37" s="27">
        <f>YR94!C41+YR95!C41+YR96!C41</f>
        <v>16915</v>
      </c>
      <c r="D37" s="27">
        <f>YR94!D41+YR95!D41+YR96!D41</f>
        <v>0</v>
      </c>
      <c r="E37" s="27">
        <f>YR94!E41+YR95!E41+YR96!E41</f>
        <v>0</v>
      </c>
      <c r="F37" s="28">
        <f t="shared" si="0"/>
        <v>0</v>
      </c>
    </row>
    <row r="38" spans="1:6" ht="18" customHeight="1">
      <c r="A38" s="59" t="s">
        <v>34</v>
      </c>
      <c r="B38" s="27">
        <f>YR94!B42+YR95!B42+YR96!B42</f>
        <v>1606</v>
      </c>
      <c r="C38" s="27">
        <f>YR94!C42+YR95!C42+YR96!C42</f>
        <v>1606</v>
      </c>
      <c r="D38" s="27">
        <f>YR94!D42+YR95!D42+YR96!D42</f>
        <v>0</v>
      </c>
      <c r="E38" s="27">
        <f>YR94!E42+YR95!E42+YR96!E42</f>
        <v>0</v>
      </c>
      <c r="F38" s="28">
        <f t="shared" si="0"/>
        <v>0</v>
      </c>
    </row>
    <row r="39" spans="1:6" ht="18" customHeight="1">
      <c r="A39" s="59" t="s">
        <v>35</v>
      </c>
      <c r="B39" s="27">
        <f>YR94!B43+YR95!B43+YR96!B43</f>
        <v>1176693</v>
      </c>
      <c r="C39" s="27">
        <f>YR94!C43+YR95!C43+YR96!C43</f>
        <v>1176693</v>
      </c>
      <c r="D39" s="27">
        <f>YR94!D43+YR95!D43+YR96!D43</f>
        <v>0</v>
      </c>
      <c r="E39" s="27">
        <f>YR94!E43+YR95!E43+YR96!E43</f>
        <v>0</v>
      </c>
      <c r="F39" s="28">
        <f t="shared" si="0"/>
        <v>0</v>
      </c>
    </row>
    <row r="40" spans="1:6" ht="18" customHeight="1">
      <c r="A40" s="59" t="s">
        <v>36</v>
      </c>
      <c r="B40" s="27">
        <f>YR94!B44+YR95!B44+YR96!B44</f>
        <v>31159609</v>
      </c>
      <c r="C40" s="27">
        <f>YR94!C44+YR95!C44+YR96!C44</f>
        <v>0</v>
      </c>
      <c r="D40" s="27">
        <f>YR94!D44+YR95!D44+YR96!D44</f>
        <v>0</v>
      </c>
      <c r="E40" s="27">
        <f>YR94!E44+YR95!E44+YR96!E44</f>
        <v>0</v>
      </c>
      <c r="F40" s="28">
        <f t="shared" si="0"/>
        <v>31159609</v>
      </c>
    </row>
    <row r="41" spans="1:6" ht="18" customHeight="1">
      <c r="A41" s="59" t="s">
        <v>55</v>
      </c>
      <c r="B41" s="27">
        <f>YR94!B45+YR95!B45+YR96!B45</f>
        <v>209324</v>
      </c>
      <c r="C41" s="27">
        <f>YR94!C45+YR95!C45+YR96!C45</f>
        <v>169324</v>
      </c>
      <c r="D41" s="27">
        <f>YR94!D45+YR95!D45+YR96!D45</f>
        <v>40000</v>
      </c>
      <c r="E41" s="27">
        <f>YR94!E45+YR95!E45+YR96!E45</f>
        <v>0</v>
      </c>
      <c r="F41" s="28">
        <f t="shared" si="0"/>
        <v>0</v>
      </c>
    </row>
    <row r="42" spans="1:6" ht="18" customHeight="1">
      <c r="A42" s="61" t="s">
        <v>96</v>
      </c>
      <c r="B42" s="27">
        <f>YR94!B46+YR95!B46+YR96!B46</f>
        <v>597218</v>
      </c>
      <c r="C42" s="27">
        <f>YR94!C46+YR95!C46+YR96!C46</f>
        <v>597218</v>
      </c>
      <c r="D42" s="27">
        <f>YR94!D46+YR95!D46+YR96!D46</f>
        <v>0</v>
      </c>
      <c r="E42" s="27">
        <f>YR94!E46+YR95!E46+YR96!E46</f>
        <v>0</v>
      </c>
      <c r="F42" s="28">
        <f t="shared" si="0"/>
        <v>0</v>
      </c>
    </row>
    <row r="43" spans="1:6" ht="18" customHeight="1">
      <c r="A43" s="59" t="s">
        <v>56</v>
      </c>
      <c r="B43" s="27">
        <f>YR94!B47+YR95!B47+YR96!B47</f>
        <v>61290</v>
      </c>
      <c r="C43" s="27">
        <f>YR94!C47+YR95!C47+YR96!C47</f>
        <v>61290</v>
      </c>
      <c r="D43" s="27">
        <f>YR94!D47+YR95!D47+YR96!D47</f>
        <v>0</v>
      </c>
      <c r="E43" s="27">
        <f>YR94!E47+YR95!E47+YR96!E47</f>
        <v>0</v>
      </c>
      <c r="F43" s="28">
        <f t="shared" si="0"/>
        <v>0</v>
      </c>
    </row>
    <row r="44" spans="1:6" ht="18" customHeight="1">
      <c r="A44" s="59" t="s">
        <v>57</v>
      </c>
      <c r="B44" s="27">
        <f>YR94!B48+YR95!B48+YR96!B48</f>
        <v>1992053</v>
      </c>
      <c r="C44" s="27">
        <f>YR94!C48+YR95!C48+YR96!C48</f>
        <v>1962053</v>
      </c>
      <c r="D44" s="27">
        <f>YR94!D48+YR95!D48+YR96!D48</f>
        <v>30000</v>
      </c>
      <c r="E44" s="27">
        <f>YR94!E48+YR95!E48+YR96!E48</f>
        <v>0</v>
      </c>
      <c r="F44" s="28">
        <f t="shared" si="0"/>
        <v>0</v>
      </c>
    </row>
    <row r="45" spans="1:6" ht="18" customHeight="1">
      <c r="A45" s="59" t="s">
        <v>38</v>
      </c>
      <c r="B45" s="27">
        <f>YR94!B49+YR95!B49+YR96!B49</f>
        <v>11022275</v>
      </c>
      <c r="C45" s="27">
        <f>YR94!C49+YR95!C49+YR96!C49</f>
        <v>11022275</v>
      </c>
      <c r="D45" s="27">
        <f>YR94!D49+YR95!D49+YR96!D49</f>
        <v>0</v>
      </c>
      <c r="E45" s="27">
        <f>YR94!E49+YR95!E49+YR96!E49</f>
        <v>0</v>
      </c>
      <c r="F45" s="28">
        <f t="shared" si="0"/>
        <v>0</v>
      </c>
    </row>
    <row r="46" spans="1:6" ht="18" customHeight="1">
      <c r="A46" s="59" t="s">
        <v>39</v>
      </c>
      <c r="B46" s="27">
        <f>YR94!B50+YR95!B50+YR96!B50</f>
        <v>6010335</v>
      </c>
      <c r="C46" s="27">
        <f>YR94!C50+YR95!C50+YR96!C50</f>
        <v>6010335</v>
      </c>
      <c r="D46" s="27">
        <f>YR94!D50+YR95!D50+YR96!D50</f>
        <v>0</v>
      </c>
      <c r="E46" s="27">
        <f>YR94!E50+YR95!E50+YR96!E50</f>
        <v>0</v>
      </c>
      <c r="F46" s="28">
        <f t="shared" si="0"/>
        <v>0</v>
      </c>
    </row>
    <row r="47" spans="1:6" ht="18" customHeight="1">
      <c r="A47" s="59" t="s">
        <v>40</v>
      </c>
      <c r="B47" s="27">
        <f>YR94!B51+YR95!B51+YR96!B51</f>
        <v>5979856</v>
      </c>
      <c r="C47" s="27">
        <f>YR94!C51+YR95!C51+YR96!C51</f>
        <v>5737256</v>
      </c>
      <c r="D47" s="27">
        <f>YR94!D51+YR95!D51+YR96!D51</f>
        <v>242600</v>
      </c>
      <c r="E47" s="27">
        <f>YR94!E51+YR95!E51+YR96!E51</f>
        <v>0</v>
      </c>
      <c r="F47" s="28">
        <f t="shared" si="0"/>
        <v>0</v>
      </c>
    </row>
    <row r="48" spans="1:6" ht="18" customHeight="1">
      <c r="A48" s="59" t="s">
        <v>41</v>
      </c>
      <c r="B48" s="27">
        <f>YR94!B52+YR95!B52+YR96!B52</f>
        <v>0</v>
      </c>
      <c r="C48" s="27">
        <f>YR94!C52+YR95!C52+YR96!C52</f>
        <v>0</v>
      </c>
      <c r="D48" s="27">
        <f>YR94!D52+YR95!D52+YR96!D52</f>
        <v>0</v>
      </c>
      <c r="E48" s="27">
        <f>YR94!E52+YR95!E52+YR96!E52</f>
        <v>0</v>
      </c>
      <c r="F48" s="28">
        <f t="shared" si="0"/>
        <v>0</v>
      </c>
    </row>
    <row r="49" spans="1:6" ht="18" customHeight="1">
      <c r="A49" s="59" t="s">
        <v>42</v>
      </c>
      <c r="B49" s="27">
        <f>YR94!B53+YR95!B53+YR96!B53</f>
        <v>56603</v>
      </c>
      <c r="C49" s="27">
        <f>YR94!C53+YR95!C53+YR96!C53</f>
        <v>0</v>
      </c>
      <c r="D49" s="27">
        <f>YR94!D53+YR95!D53+YR96!D53</f>
        <v>0</v>
      </c>
      <c r="E49" s="27">
        <f>YR94!E53+YR95!E53+YR96!E53</f>
        <v>0</v>
      </c>
      <c r="F49" s="28">
        <f t="shared" si="0"/>
        <v>56603</v>
      </c>
    </row>
    <row r="50" spans="1:6" ht="18" customHeight="1">
      <c r="A50" s="59" t="s">
        <v>43</v>
      </c>
      <c r="B50" s="27">
        <f>YR94!B54+YR95!B54+YR96!B54</f>
        <v>0</v>
      </c>
      <c r="C50" s="27">
        <f>YR94!C54+YR95!C54+YR96!C54</f>
        <v>0</v>
      </c>
      <c r="D50" s="27">
        <f>YR94!D54+YR95!D54+YR96!D54</f>
        <v>0</v>
      </c>
      <c r="E50" s="27">
        <f>YR94!E54+YR95!E54+YR96!E54</f>
        <v>0</v>
      </c>
      <c r="F50" s="28">
        <f t="shared" si="0"/>
        <v>0</v>
      </c>
    </row>
    <row r="51" spans="1:6" ht="18" customHeight="1">
      <c r="A51" s="59" t="s">
        <v>44</v>
      </c>
      <c r="B51" s="27">
        <f>YR94!B56+YR95!B56+YR96!B56-500037</f>
        <v>26270127</v>
      </c>
      <c r="C51" s="27">
        <f>YR94!C56+YR95!C56+YR96!C56</f>
        <v>26270127</v>
      </c>
      <c r="D51" s="27">
        <f>YR94!D56+YR95!D56+YR96!D56</f>
        <v>0</v>
      </c>
      <c r="E51" s="27">
        <f>YR94!E56+YR95!E56+YR96!E56</f>
        <v>0</v>
      </c>
      <c r="F51" s="28">
        <f t="shared" si="0"/>
        <v>0</v>
      </c>
    </row>
    <row r="52" spans="1:6" ht="18" customHeight="1">
      <c r="A52" s="59" t="s">
        <v>45</v>
      </c>
      <c r="B52" s="27">
        <f>YR94!B57+YR95!B57+YR96!B57</f>
        <v>113750001</v>
      </c>
      <c r="C52" s="27">
        <f>YR94!C57+YR95!C57+YR96!C57</f>
        <v>107201216</v>
      </c>
      <c r="D52" s="27">
        <f>YR94!D57+YR95!D57+YR96!D57</f>
        <v>6548785</v>
      </c>
      <c r="E52" s="27">
        <f>YR94!E57+YR95!E57+YR96!E57</f>
        <v>0</v>
      </c>
      <c r="F52" s="28">
        <f t="shared" si="0"/>
        <v>0</v>
      </c>
    </row>
    <row r="53" spans="1:6" ht="18" customHeight="1" thickBot="1">
      <c r="A53" s="62" t="s">
        <v>46</v>
      </c>
      <c r="B53" s="128">
        <f>YR94!B58+YR95!B58+YR96!B58</f>
        <v>0</v>
      </c>
      <c r="C53" s="128">
        <f>YR94!C58+YR95!C58+YR96!C58</f>
        <v>0</v>
      </c>
      <c r="D53" s="128">
        <f>YR94!D58+YR95!D58+YR96!D58</f>
        <v>0</v>
      </c>
      <c r="E53" s="128">
        <f>YR94!E58+YR95!E58+YR96!E58</f>
        <v>0</v>
      </c>
      <c r="F53" s="129">
        <f t="shared" si="0"/>
        <v>0</v>
      </c>
    </row>
    <row r="54" spans="1:6" ht="18" customHeight="1" thickBot="1">
      <c r="A54" s="65" t="s">
        <v>59</v>
      </c>
      <c r="B54" s="29">
        <f>SUM(B8:B53)</f>
        <v>424841347</v>
      </c>
      <c r="C54" s="29">
        <f>SUM(C8:C53)</f>
        <v>381509659</v>
      </c>
      <c r="D54" s="29">
        <f>SUM(D8:D53)</f>
        <v>11955410</v>
      </c>
      <c r="E54" s="29">
        <f>SUM(E8:E53)</f>
        <v>0</v>
      </c>
      <c r="F54" s="30">
        <f>SUM(F8:F53)</f>
        <v>31376278</v>
      </c>
    </row>
    <row r="55" spans="1:6" ht="18" customHeight="1" thickBot="1">
      <c r="A55" s="67" t="s">
        <v>80</v>
      </c>
      <c r="B55" s="31">
        <f>693288+171486+1568782+5164674+500037</f>
        <v>8098267</v>
      </c>
      <c r="C55" s="31">
        <v>0</v>
      </c>
      <c r="D55" s="31">
        <v>0</v>
      </c>
      <c r="E55" s="32">
        <v>0</v>
      </c>
      <c r="F55" s="33">
        <f>B55-C55-D55-E55</f>
        <v>8098267</v>
      </c>
    </row>
    <row r="56" spans="1:6" ht="18" customHeight="1" thickBot="1">
      <c r="A56" s="65" t="s">
        <v>2</v>
      </c>
      <c r="B56" s="29">
        <f>SUM(B54:B55)</f>
        <v>432939614</v>
      </c>
      <c r="C56" s="29">
        <f>SUM(C54:C55)</f>
        <v>381509659</v>
      </c>
      <c r="D56" s="29">
        <f>SUM(D54:D55)</f>
        <v>11955410</v>
      </c>
      <c r="E56" s="29">
        <f>SUM(E54:E55)</f>
        <v>0</v>
      </c>
      <c r="F56" s="30">
        <f>SUM(F54:F55)</f>
        <v>39474545</v>
      </c>
    </row>
    <row r="57" spans="1:6" ht="18" customHeight="1">
      <c r="A57" s="68"/>
      <c r="B57" s="130"/>
      <c r="C57" s="130"/>
      <c r="D57" s="130"/>
      <c r="E57" s="130"/>
      <c r="F57" s="130"/>
    </row>
    <row r="58" spans="1:6" ht="18" customHeight="1">
      <c r="A58" s="126" t="s">
        <v>73</v>
      </c>
      <c r="B58" s="124"/>
      <c r="C58" s="124"/>
      <c r="D58" s="124"/>
      <c r="E58" s="125"/>
      <c r="F58" s="125"/>
    </row>
    <row r="59" spans="1:6" ht="16.5" thickBot="1">
      <c r="A59" s="69"/>
      <c r="B59" s="12"/>
      <c r="C59" s="12"/>
      <c r="D59" s="12"/>
      <c r="E59" s="12"/>
      <c r="F59" s="12"/>
    </row>
    <row r="60" spans="1:6" ht="15.75" customHeight="1" thickBot="1">
      <c r="A60" s="70" t="s">
        <v>67</v>
      </c>
      <c r="B60" s="49">
        <f>B10+B11+B13+B16+B18+B23+B29+B31+B38+B40+B42+B43+B48+B49+B50+B53</f>
        <v>35418681</v>
      </c>
      <c r="C60" s="49">
        <f>C10+C11+C13+C16+C18+C23+C29+C31+C38+C40+C42+C43+C48+C49+C50+C53</f>
        <v>4042403</v>
      </c>
      <c r="D60" s="49">
        <f>D10+D11+D13+D16+D18+D23+D29+D31+D38+D40+D42+D43+D48+D49+D50+D53</f>
        <v>0</v>
      </c>
      <c r="E60" s="49">
        <f>E10+E11+E13+E16+E18+E23+E29+E31+E38+E40+E42+E43+E48+E49+E50+E53</f>
        <v>0</v>
      </c>
      <c r="F60" s="50">
        <f>B60-C60-D60-E60</f>
        <v>31376278</v>
      </c>
    </row>
    <row r="61" spans="1:6" ht="15.75">
      <c r="A61" s="12"/>
      <c r="B61" s="12"/>
      <c r="C61" s="12"/>
      <c r="D61" s="12"/>
      <c r="E61" s="12"/>
      <c r="F61" s="12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11111">
    <pageSetUpPr fitToPage="1"/>
  </sheetPr>
  <dimension ref="A1:G63"/>
  <sheetViews>
    <sheetView zoomScale="75" zoomScaleNormal="75" zoomScaleSheetLayoutView="75" workbookViewId="0" topLeftCell="A1">
      <selection activeCell="A7" sqref="A7:F7"/>
    </sheetView>
  </sheetViews>
  <sheetFormatPr defaultColWidth="8.796875" defaultRowHeight="15"/>
  <cols>
    <col min="1" max="1" width="24.796875" style="2" customWidth="1"/>
    <col min="2" max="3" width="15.796875" style="2" customWidth="1"/>
    <col min="4" max="4" width="12.796875" style="2" customWidth="1"/>
    <col min="5" max="6" width="15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205" t="str">
        <f>status!$C$1</f>
        <v>UNEP/OzL.Pro/ExCom/57/L.1</v>
      </c>
      <c r="B1" s="47"/>
    </row>
    <row r="2" spans="1:2" ht="15.75" customHeight="1">
      <c r="A2" s="205" t="s">
        <v>87</v>
      </c>
      <c r="B2" s="5"/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122</v>
      </c>
      <c r="B5" s="6"/>
      <c r="C5" s="8"/>
      <c r="D5" s="8"/>
      <c r="E5" s="6"/>
      <c r="F5" s="6"/>
    </row>
    <row r="6" spans="1:7" ht="30" customHeight="1" thickBot="1">
      <c r="A6" s="51" t="str">
        <f>status!$A$8</f>
        <v>Al 27 de marzo de 2009</v>
      </c>
      <c r="B6" s="8"/>
      <c r="C6" s="8"/>
      <c r="D6" s="8"/>
      <c r="E6" s="8"/>
      <c r="F6" s="8"/>
      <c r="G6" s="3"/>
    </row>
    <row r="7" spans="1:7" ht="32.25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  <c r="G7" s="40"/>
    </row>
    <row r="8" spans="1:7" ht="18" customHeight="1">
      <c r="A8" s="56" t="s">
        <v>10</v>
      </c>
      <c r="B8" s="22">
        <f>YR91!B8+YR92!B8+YR93!B8</f>
        <v>4324254</v>
      </c>
      <c r="C8" s="22">
        <f>YR91!C8+YR92!C8+YR93!C8</f>
        <v>4284963</v>
      </c>
      <c r="D8" s="22">
        <f>YR91!D8+YR92!D8+YR93!D8</f>
        <v>39291</v>
      </c>
      <c r="E8" s="22">
        <f>YR91!E8+YR92!E8+YR93!E8</f>
        <v>0</v>
      </c>
      <c r="F8" s="11">
        <f aca="true" t="shared" si="0" ref="F8:F37">B8-C8-D8-E8</f>
        <v>0</v>
      </c>
      <c r="G8" s="41"/>
    </row>
    <row r="9" spans="1:7" ht="18" customHeight="1">
      <c r="A9" s="59" t="s">
        <v>11</v>
      </c>
      <c r="B9" s="22">
        <f>YR91!B9+YR92!B9+YR93!B9</f>
        <v>2089187</v>
      </c>
      <c r="C9" s="22">
        <f>YR91!C9+YR92!C9+YR93!C9</f>
        <v>2089187</v>
      </c>
      <c r="D9" s="22">
        <f>YR91!D9+YR92!D9+YR93!D9</f>
        <v>0</v>
      </c>
      <c r="E9" s="22">
        <f>YR91!E9+YR92!E9+YR93!E9</f>
        <v>0</v>
      </c>
      <c r="F9" s="23">
        <f t="shared" si="0"/>
        <v>0</v>
      </c>
      <c r="G9" s="41"/>
    </row>
    <row r="10" spans="1:7" ht="18" customHeight="1">
      <c r="A10" s="60" t="s">
        <v>12</v>
      </c>
      <c r="B10" s="22">
        <f>YR91!B10+YR92!B10+YR93!B10</f>
        <v>0</v>
      </c>
      <c r="C10" s="22">
        <f>YR91!C10+YR92!C10+YR93!C10</f>
        <v>0</v>
      </c>
      <c r="D10" s="22">
        <f>YR91!D10+YR92!D10+YR93!D10</f>
        <v>0</v>
      </c>
      <c r="E10" s="22">
        <f>YR91!E10+YR92!E10+YR93!E10</f>
        <v>0</v>
      </c>
      <c r="F10" s="23">
        <f t="shared" si="0"/>
        <v>0</v>
      </c>
      <c r="G10" s="41"/>
    </row>
    <row r="11" spans="1:7" ht="18" customHeight="1">
      <c r="A11" s="59" t="s">
        <v>13</v>
      </c>
      <c r="B11" s="22">
        <f>YR91!B11+YR92!B11+YR93!B11</f>
        <v>276304</v>
      </c>
      <c r="C11" s="22">
        <f>YR91!C11+YR92!C11+YR93!C11</f>
        <v>0</v>
      </c>
      <c r="D11" s="22">
        <f>YR91!D11+YR92!D11+YR93!D11</f>
        <v>0</v>
      </c>
      <c r="E11" s="22">
        <f>YR91!E11+YR92!E11+YR93!E11</f>
        <v>0</v>
      </c>
      <c r="F11" s="23">
        <f t="shared" si="0"/>
        <v>276304</v>
      </c>
      <c r="G11" s="41"/>
    </row>
    <row r="12" spans="1:7" ht="18" customHeight="1">
      <c r="A12" s="59" t="s">
        <v>14</v>
      </c>
      <c r="B12" s="22">
        <f>YR91!B12+YR92!B12+YR93!B12</f>
        <v>3135548</v>
      </c>
      <c r="C12" s="22">
        <f>YR91!C12+YR92!C12+YR93!C12</f>
        <v>3135548</v>
      </c>
      <c r="D12" s="22">
        <f>YR91!D12+YR92!D12+YR93!D12</f>
        <v>0</v>
      </c>
      <c r="E12" s="22">
        <f>YR91!E12+YR92!E12+YR93!E12</f>
        <v>0</v>
      </c>
      <c r="F12" s="23">
        <f t="shared" si="0"/>
        <v>0</v>
      </c>
      <c r="G12" s="41"/>
    </row>
    <row r="13" spans="1:7" ht="18" customHeight="1">
      <c r="A13" s="59" t="s">
        <v>48</v>
      </c>
      <c r="B13" s="22">
        <f>YR91!B14+YR92!B14+YR93!B14</f>
        <v>299989</v>
      </c>
      <c r="C13" s="22">
        <f>YR91!C14+YR92!C14+YR93!C14</f>
        <v>299989</v>
      </c>
      <c r="D13" s="22">
        <f>YR91!D14+YR92!D14+YR93!D14</f>
        <v>0</v>
      </c>
      <c r="E13" s="22">
        <f>YR91!E14+YR92!E14+YR93!E14</f>
        <v>0</v>
      </c>
      <c r="F13" s="23">
        <f t="shared" si="0"/>
        <v>0</v>
      </c>
      <c r="G13" s="41"/>
    </row>
    <row r="14" spans="1:7" ht="18" customHeight="1">
      <c r="A14" s="59" t="s">
        <v>15</v>
      </c>
      <c r="B14" s="22">
        <f>YR91!B15+YR92!B15+YR93!B15</f>
        <v>8694777</v>
      </c>
      <c r="C14" s="22">
        <f>YR91!C15+YR92!C15+YR93!C15-33558</f>
        <v>8045277</v>
      </c>
      <c r="D14" s="22">
        <f>YR91!D15+YR92!D15+YR93!D15</f>
        <v>649500</v>
      </c>
      <c r="E14" s="22">
        <f>YR91!E15+YR92!E15+YR93!E15</f>
        <v>0</v>
      </c>
      <c r="F14" s="23">
        <f t="shared" si="0"/>
        <v>0</v>
      </c>
      <c r="G14" s="41"/>
    </row>
    <row r="15" spans="1:7" ht="18" customHeight="1">
      <c r="A15" s="59" t="s">
        <v>49</v>
      </c>
      <c r="B15" s="22">
        <f>YR91!B16+YR92!B16+YR93!B16</f>
        <v>26647</v>
      </c>
      <c r="C15" s="22">
        <f>YR91!C16+YR92!C16+YR93!C16</f>
        <v>26647</v>
      </c>
      <c r="D15" s="22">
        <f>YR91!D16+YR92!D16+YR93!D16</f>
        <v>0</v>
      </c>
      <c r="E15" s="22">
        <f>YR91!E16+YR92!E16+YR93!E16</f>
        <v>0</v>
      </c>
      <c r="F15" s="23">
        <f t="shared" si="0"/>
        <v>0</v>
      </c>
      <c r="G15" s="41"/>
    </row>
    <row r="16" spans="1:7" ht="18" customHeight="1">
      <c r="A16" s="59" t="s">
        <v>16</v>
      </c>
      <c r="B16" s="22">
        <f>YR91!B17+YR92!B17+YR93!B17</f>
        <v>931484</v>
      </c>
      <c r="C16" s="22">
        <f>YR91!C17+YR92!C17+YR93!C17</f>
        <v>931484</v>
      </c>
      <c r="D16" s="22">
        <f>YR91!D17+YR92!D17+YR93!D17</f>
        <v>0</v>
      </c>
      <c r="E16" s="22">
        <f>YR91!E17+YR92!E17+YR93!E17</f>
        <v>0</v>
      </c>
      <c r="F16" s="23">
        <f t="shared" si="0"/>
        <v>0</v>
      </c>
      <c r="G16" s="41"/>
    </row>
    <row r="17" spans="1:7" ht="18" customHeight="1">
      <c r="A17" s="59" t="s">
        <v>17</v>
      </c>
      <c r="B17" s="22">
        <f>YR91!B18+YR92!B18+YR93!B18</f>
        <v>1882307</v>
      </c>
      <c r="C17" s="22">
        <f>YR91!C18+YR92!C18+YR93!C18</f>
        <v>1882307</v>
      </c>
      <c r="D17" s="22">
        <f>YR91!D18+YR92!D18+YR93!D18</f>
        <v>0</v>
      </c>
      <c r="E17" s="22">
        <f>YR91!E18+YR92!E18+YR93!E18</f>
        <v>0</v>
      </c>
      <c r="F17" s="23">
        <f t="shared" si="0"/>
        <v>0</v>
      </c>
      <c r="G17" s="41"/>
    </row>
    <row r="18" spans="1:7" ht="18" customHeight="1">
      <c r="A18" s="59" t="s">
        <v>62</v>
      </c>
      <c r="B18" s="22">
        <f>YR91!B19+YR92!B19+YR93!B19</f>
        <v>0</v>
      </c>
      <c r="C18" s="22">
        <f>YR91!C19+YR92!C19+YR93!C19</f>
        <v>0</v>
      </c>
      <c r="D18" s="22">
        <f>YR91!D19+YR92!D19+YR93!D19</f>
        <v>0</v>
      </c>
      <c r="E18" s="22">
        <f>YR91!E19+YR92!E19+YR93!E19</f>
        <v>0</v>
      </c>
      <c r="F18" s="23">
        <f t="shared" si="0"/>
        <v>0</v>
      </c>
      <c r="G18" s="41"/>
    </row>
    <row r="19" spans="1:7" ht="18" customHeight="1">
      <c r="A19" s="59" t="s">
        <v>18</v>
      </c>
      <c r="B19" s="22">
        <f>YR91!B20+YR92!B20+YR93!B20</f>
        <v>1510603</v>
      </c>
      <c r="C19" s="22">
        <f>YR91!C20+YR92!C20+YR93!C20</f>
        <v>1510603</v>
      </c>
      <c r="D19" s="22">
        <f>YR91!D20+YR92!D20+YR93!D20</f>
        <v>0</v>
      </c>
      <c r="E19" s="22">
        <f>YR91!E20+YR92!E20+YR93!E20</f>
        <v>0</v>
      </c>
      <c r="F19" s="23">
        <f t="shared" si="0"/>
        <v>0</v>
      </c>
      <c r="G19" s="41"/>
    </row>
    <row r="20" spans="1:7" ht="18" customHeight="1">
      <c r="A20" s="59" t="s">
        <v>19</v>
      </c>
      <c r="B20" s="22">
        <f>YR91!B21+YR92!B21+YR93!B21</f>
        <v>17199536</v>
      </c>
      <c r="C20" s="22">
        <f>YR91!C21+YR92!C21+YR93!C21</f>
        <v>17199536</v>
      </c>
      <c r="D20" s="22">
        <f>YR91!D21+YR92!D21+YR93!D21</f>
        <v>0</v>
      </c>
      <c r="E20" s="22">
        <f>YR91!E21+YR92!E21+YR93!E21</f>
        <v>0</v>
      </c>
      <c r="F20" s="23">
        <f t="shared" si="0"/>
        <v>0</v>
      </c>
      <c r="G20" s="41"/>
    </row>
    <row r="21" spans="1:7" ht="18" customHeight="1">
      <c r="A21" s="59" t="s">
        <v>20</v>
      </c>
      <c r="B21" s="22">
        <f>YR91!B23+YR92!B23+YR93!B23</f>
        <v>25683945</v>
      </c>
      <c r="C21" s="22">
        <f>YR91!C23+YR92!C23+YR93!C23</f>
        <v>25665567</v>
      </c>
      <c r="D21" s="22">
        <f>YR91!D23+YR92!D23+YR93!D23</f>
        <v>18378</v>
      </c>
      <c r="E21" s="22">
        <f>YR91!E23+YR92!E23+YR93!E23</f>
        <v>0</v>
      </c>
      <c r="F21" s="23">
        <f t="shared" si="0"/>
        <v>0</v>
      </c>
      <c r="G21" s="41"/>
    </row>
    <row r="22" spans="1:7" ht="18" customHeight="1">
      <c r="A22" s="59" t="s">
        <v>21</v>
      </c>
      <c r="B22" s="22">
        <f>YR91!B24+YR92!B24+YR93!B24</f>
        <v>1055470</v>
      </c>
      <c r="C22" s="22">
        <f>YR91!C24+YR92!C24+YR93!C24</f>
        <v>1055470</v>
      </c>
      <c r="D22" s="22">
        <f>YR91!D24+YR92!D24+YR93!D24</f>
        <v>0</v>
      </c>
      <c r="E22" s="22">
        <f>YR91!E24+YR92!E24+YR93!E24</f>
        <v>0</v>
      </c>
      <c r="F22" s="23">
        <f t="shared" si="0"/>
        <v>0</v>
      </c>
      <c r="G22" s="41"/>
    </row>
    <row r="23" spans="1:7" ht="18" customHeight="1">
      <c r="A23" s="59" t="s">
        <v>22</v>
      </c>
      <c r="B23" s="22">
        <f>YR91!B25+YR92!B25+YR93!B25</f>
        <v>549125</v>
      </c>
      <c r="C23" s="22">
        <f>YR91!C25+YR92!C25+YR93!C25</f>
        <v>549125</v>
      </c>
      <c r="D23" s="22">
        <f>YR91!D25+YR92!D25+YR93!D25</f>
        <v>0</v>
      </c>
      <c r="E23" s="22">
        <f>YR91!E25+YR92!E25+YR93!E25</f>
        <v>0</v>
      </c>
      <c r="F23" s="23">
        <f t="shared" si="0"/>
        <v>0</v>
      </c>
      <c r="G23" s="41"/>
    </row>
    <row r="24" spans="1:7" ht="18" customHeight="1">
      <c r="A24" s="59" t="s">
        <v>23</v>
      </c>
      <c r="B24" s="22">
        <f>YR91!B26+YR92!B26+YR93!B26</f>
        <v>84156</v>
      </c>
      <c r="C24" s="22">
        <f>YR91!C26+YR92!C26+YR93!C26</f>
        <v>84156</v>
      </c>
      <c r="D24" s="22">
        <f>YR91!D26+YR92!D26+YR93!D26</f>
        <v>0</v>
      </c>
      <c r="E24" s="22">
        <f>YR91!E26+YR92!E26+YR93!E26</f>
        <v>0</v>
      </c>
      <c r="F24" s="23">
        <f t="shared" si="0"/>
        <v>0</v>
      </c>
      <c r="G24" s="41"/>
    </row>
    <row r="25" spans="1:7" ht="18" customHeight="1">
      <c r="A25" s="59" t="s">
        <v>24</v>
      </c>
      <c r="B25" s="22">
        <f>YR91!B27+YR92!B27+YR93!B27</f>
        <v>504940</v>
      </c>
      <c r="C25" s="22">
        <f>YR91!C27+YR92!C27+YR93!C27</f>
        <v>504940</v>
      </c>
      <c r="D25" s="22">
        <f>YR91!D27+YR92!D27+YR93!D27</f>
        <v>0</v>
      </c>
      <c r="E25" s="22">
        <f>YR91!E27+YR92!E27+YR93!E27</f>
        <v>0</v>
      </c>
      <c r="F25" s="23">
        <f t="shared" si="0"/>
        <v>0</v>
      </c>
      <c r="G25" s="41"/>
    </row>
    <row r="26" spans="1:7" ht="18" customHeight="1">
      <c r="A26" s="59" t="s">
        <v>25</v>
      </c>
      <c r="B26" s="22">
        <f>YR91!B28+YR92!B28+YR93!B28</f>
        <v>306443</v>
      </c>
      <c r="C26" s="22">
        <f>YR91!C28+YR92!C28+YR93!C28</f>
        <v>306443</v>
      </c>
      <c r="D26" s="22">
        <f>YR91!D28+YR92!D28+YR93!D28</f>
        <v>0</v>
      </c>
      <c r="E26" s="22">
        <f>YR91!E28+YR92!E28+YR93!E28</f>
        <v>0</v>
      </c>
      <c r="F26" s="23">
        <f t="shared" si="0"/>
        <v>0</v>
      </c>
      <c r="G26" s="41"/>
    </row>
    <row r="27" spans="1:7" ht="18" customHeight="1">
      <c r="A27" s="59" t="s">
        <v>26</v>
      </c>
      <c r="B27" s="22">
        <f>YR91!B29+YR92!B29+YR93!B29</f>
        <v>11592538</v>
      </c>
      <c r="C27" s="22">
        <f>YR91!C29+YR92!C29+YR93!C29</f>
        <v>11592538</v>
      </c>
      <c r="D27" s="22">
        <f>YR91!D29+YR92!D29+YR93!D29</f>
        <v>0</v>
      </c>
      <c r="E27" s="22">
        <f>YR91!E29+YR92!E29+YR93!E29</f>
        <v>0</v>
      </c>
      <c r="F27" s="23">
        <f t="shared" si="0"/>
        <v>0</v>
      </c>
      <c r="G27" s="41"/>
    </row>
    <row r="28" spans="1:7" ht="18" customHeight="1">
      <c r="A28" s="59" t="s">
        <v>64</v>
      </c>
      <c r="B28" s="22">
        <f>YR91!B30+YR92!B30+YR93!B30</f>
        <v>33349034</v>
      </c>
      <c r="C28" s="22">
        <f>YR91!C30+YR92!C30+YR93!C30</f>
        <v>33349034</v>
      </c>
      <c r="D28" s="22">
        <f>YR91!D30+YR92!D30+YR93!D30</f>
        <v>0</v>
      </c>
      <c r="E28" s="22">
        <f>YR91!E30+YR92!E30+YR93!E30</f>
        <v>0</v>
      </c>
      <c r="F28" s="23">
        <f t="shared" si="0"/>
        <v>0</v>
      </c>
      <c r="G28" s="41"/>
    </row>
    <row r="29" spans="1:7" ht="18" customHeight="1">
      <c r="A29" s="59" t="s">
        <v>51</v>
      </c>
      <c r="B29" s="22">
        <f>YR91!B31+YR92!B31+YR93!B31</f>
        <v>286549</v>
      </c>
      <c r="C29" s="22">
        <f>YR91!C31+YR92!C31+YR93!C31</f>
        <v>286549</v>
      </c>
      <c r="D29" s="22">
        <f>YR91!D31+YR92!D31+YR93!D31</f>
        <v>0</v>
      </c>
      <c r="E29" s="22">
        <f>YR91!E31+YR92!E31+YR93!E31</f>
        <v>0</v>
      </c>
      <c r="F29" s="23">
        <f t="shared" si="0"/>
        <v>0</v>
      </c>
      <c r="G29" s="41"/>
    </row>
    <row r="30" spans="1:7" ht="18" customHeight="1">
      <c r="A30" s="59" t="s">
        <v>52</v>
      </c>
      <c r="B30" s="22">
        <f>YR91!B32+YR92!B32+YR93!B32</f>
        <v>0</v>
      </c>
      <c r="C30" s="22">
        <f>YR91!C32+YR92!C32+YR93!C32</f>
        <v>0</v>
      </c>
      <c r="D30" s="22">
        <f>YR91!D32+YR92!D32+YR93!D32</f>
        <v>0</v>
      </c>
      <c r="E30" s="22">
        <f>YR91!E32+YR92!E32+YR93!E32</f>
        <v>0</v>
      </c>
      <c r="F30" s="23">
        <f t="shared" si="0"/>
        <v>0</v>
      </c>
      <c r="G30" s="41"/>
    </row>
    <row r="31" spans="1:7" ht="18" customHeight="1">
      <c r="A31" s="59" t="s">
        <v>27</v>
      </c>
      <c r="B31" s="22">
        <f>YR91!B33+YR92!B33+YR93!B33</f>
        <v>28052</v>
      </c>
      <c r="C31" s="22">
        <f>YR91!C33+YR92!C33+YR93!C33</f>
        <v>28052</v>
      </c>
      <c r="D31" s="22">
        <f>YR91!D33+YR92!D33+YR93!D33</f>
        <v>0</v>
      </c>
      <c r="E31" s="22">
        <f>YR91!E33+YR92!E33+YR93!E33</f>
        <v>0</v>
      </c>
      <c r="F31" s="23">
        <f t="shared" si="0"/>
        <v>0</v>
      </c>
      <c r="G31" s="41"/>
    </row>
    <row r="32" spans="1:7" ht="18" customHeight="1">
      <c r="A32" s="59" t="s">
        <v>28</v>
      </c>
      <c r="B32" s="22">
        <f>YR91!B34+YR92!B34+YR93!B34</f>
        <v>0</v>
      </c>
      <c r="C32" s="22">
        <f>YR91!C34+YR92!C34+YR93!C34</f>
        <v>0</v>
      </c>
      <c r="D32" s="22">
        <f>YR91!D34+YR92!D34+YR93!D34</f>
        <v>0</v>
      </c>
      <c r="E32" s="22">
        <f>YR91!E34+YR92!E34+YR93!E34</f>
        <v>0</v>
      </c>
      <c r="F32" s="23">
        <f t="shared" si="0"/>
        <v>0</v>
      </c>
      <c r="G32" s="41"/>
    </row>
    <row r="33" spans="1:7" ht="18" customHeight="1">
      <c r="A33" s="59" t="s">
        <v>29</v>
      </c>
      <c r="B33" s="22">
        <f>YR91!B35+YR92!B35+YR93!B35</f>
        <v>168314</v>
      </c>
      <c r="C33" s="22">
        <f>YR91!C35+YR92!C35+YR93!C35</f>
        <v>168314</v>
      </c>
      <c r="D33" s="22">
        <f>YR91!D35+YR92!D35+YR93!D35</f>
        <v>0</v>
      </c>
      <c r="E33" s="22">
        <f>YR91!E35+YR92!E35+YR93!E35</f>
        <v>0</v>
      </c>
      <c r="F33" s="23">
        <f t="shared" si="0"/>
        <v>0</v>
      </c>
      <c r="G33" s="41"/>
    </row>
    <row r="34" spans="1:7" ht="18" customHeight="1">
      <c r="A34" s="59" t="s">
        <v>53</v>
      </c>
      <c r="B34" s="22">
        <f>YR91!B36+YR92!B36+YR93!B36</f>
        <v>28052</v>
      </c>
      <c r="C34" s="22">
        <f>YR91!C36+YR92!C36+YR93!C36</f>
        <v>28052</v>
      </c>
      <c r="D34" s="22">
        <f>YR91!D36+YR92!D36+YR93!D36</f>
        <v>0</v>
      </c>
      <c r="E34" s="22">
        <f>YR91!E36+YR92!E36+YR93!E36</f>
        <v>0</v>
      </c>
      <c r="F34" s="23">
        <f t="shared" si="0"/>
        <v>0</v>
      </c>
      <c r="G34" s="41"/>
    </row>
    <row r="35" spans="1:7" ht="18" customHeight="1">
      <c r="A35" s="59" t="s">
        <v>30</v>
      </c>
      <c r="B35" s="22">
        <f>YR91!B37+YR92!B37+YR93!B37</f>
        <v>7483</v>
      </c>
      <c r="C35" s="22">
        <f>YR91!C37+YR92!C37+YR93!C37</f>
        <v>7483</v>
      </c>
      <c r="D35" s="22">
        <f>YR91!D37+YR92!D37+YR93!D37</f>
        <v>0</v>
      </c>
      <c r="E35" s="22">
        <f>YR91!E37+YR92!E37+YR93!E37</f>
        <v>0</v>
      </c>
      <c r="F35" s="23">
        <f t="shared" si="0"/>
        <v>0</v>
      </c>
      <c r="G35" s="41"/>
    </row>
    <row r="36" spans="1:7" ht="18" customHeight="1">
      <c r="A36" s="59" t="s">
        <v>31</v>
      </c>
      <c r="B36" s="22">
        <f>YR91!B38+YR92!B38+YR93!B38</f>
        <v>4428759</v>
      </c>
      <c r="C36" s="22">
        <f>YR91!C38+YR92!C38+YR93!C38</f>
        <v>4428759</v>
      </c>
      <c r="D36" s="22">
        <f>YR91!D38+YR92!D38+YR93!D38</f>
        <v>0</v>
      </c>
      <c r="E36" s="22">
        <f>YR91!E38+YR92!E38+YR93!E38</f>
        <v>0</v>
      </c>
      <c r="F36" s="23">
        <f t="shared" si="0"/>
        <v>0</v>
      </c>
      <c r="G36" s="41"/>
    </row>
    <row r="37" spans="1:7" ht="18" customHeight="1">
      <c r="A37" s="59" t="s">
        <v>32</v>
      </c>
      <c r="B37" s="22">
        <f>YR91!B39+YR92!B39+YR93!B39</f>
        <v>673252</v>
      </c>
      <c r="C37" s="22">
        <f>YR91!C39+YR92!C39+YR93!C39</f>
        <v>673252</v>
      </c>
      <c r="D37" s="22">
        <f>YR91!D39+YR92!D39+YR93!D39</f>
        <v>0</v>
      </c>
      <c r="E37" s="22">
        <f>YR91!E39+YR92!E39+YR93!E39</f>
        <v>0</v>
      </c>
      <c r="F37" s="23">
        <f t="shared" si="0"/>
        <v>0</v>
      </c>
      <c r="G37" s="41"/>
    </row>
    <row r="38" spans="1:7" ht="18" customHeight="1">
      <c r="A38" s="59" t="s">
        <v>33</v>
      </c>
      <c r="B38" s="22">
        <f>YR91!B40+YR92!B40+YR93!B40</f>
        <v>1542871</v>
      </c>
      <c r="C38" s="22">
        <f>YR91!C40+YR92!C40+YR93!C40</f>
        <v>1542871</v>
      </c>
      <c r="D38" s="22">
        <f>YR91!D40+YR92!D40+YR93!D40</f>
        <v>0</v>
      </c>
      <c r="E38" s="22">
        <f>YR91!E40+YR92!E40+YR93!E40</f>
        <v>0</v>
      </c>
      <c r="F38" s="23">
        <f aca="true" t="shared" si="1" ref="F38:F55">B38-C38-D38-E38</f>
        <v>0</v>
      </c>
      <c r="G38" s="41"/>
    </row>
    <row r="39" spans="1:7" ht="18" customHeight="1">
      <c r="A39" s="59" t="s">
        <v>34</v>
      </c>
      <c r="B39" s="22">
        <f>YR91!B42+YR92!B42+YR93!B42</f>
        <v>473318</v>
      </c>
      <c r="C39" s="22">
        <f>YR91!C42+YR92!C42+YR93!C42</f>
        <v>473318</v>
      </c>
      <c r="D39" s="22">
        <f>YR91!D42+YR92!D42+YR93!D42</f>
        <v>0</v>
      </c>
      <c r="E39" s="22">
        <f>YR91!E42+YR92!E42+YR93!E42</f>
        <v>0</v>
      </c>
      <c r="F39" s="23">
        <f t="shared" si="1"/>
        <v>0</v>
      </c>
      <c r="G39" s="41"/>
    </row>
    <row r="40" spans="1:7" ht="18" customHeight="1">
      <c r="A40" s="59" t="s">
        <v>35</v>
      </c>
      <c r="B40" s="22">
        <f>YR91!B43+YR92!B43+YR93!B43</f>
        <v>531587</v>
      </c>
      <c r="C40" s="22">
        <f>YR91!C43+YR92!C43+YR93!C43</f>
        <v>531587</v>
      </c>
      <c r="D40" s="22">
        <f>YR91!D43+YR92!D43+YR93!D43</f>
        <v>0</v>
      </c>
      <c r="E40" s="22">
        <f>YR91!E43+YR92!E43+YR93!E43</f>
        <v>0</v>
      </c>
      <c r="F40" s="23">
        <f t="shared" si="1"/>
        <v>0</v>
      </c>
      <c r="G40" s="41"/>
    </row>
    <row r="41" spans="1:7" ht="18" customHeight="1">
      <c r="A41" s="59" t="s">
        <v>36</v>
      </c>
      <c r="B41" s="22">
        <f>YR91!B44+YR92!B44+YR93!B44</f>
        <v>23654002</v>
      </c>
      <c r="C41" s="22">
        <f>YR91!C44+YR92!C44+YR93!C44</f>
        <v>0</v>
      </c>
      <c r="D41" s="22">
        <f>YR91!D44+YR92!D44+YR93!D44</f>
        <v>0</v>
      </c>
      <c r="E41" s="22">
        <f>YR91!E44+YR92!E44+YR93!E44</f>
        <v>0</v>
      </c>
      <c r="F41" s="23">
        <f t="shared" si="1"/>
        <v>23654002</v>
      </c>
      <c r="G41" s="41"/>
    </row>
    <row r="42" spans="1:7" ht="18" customHeight="1">
      <c r="A42" s="59" t="s">
        <v>55</v>
      </c>
      <c r="B42" s="22">
        <f>YR91!B45+YR92!B45+YR93!B45</f>
        <v>321897</v>
      </c>
      <c r="C42" s="22">
        <f>YR91!C45+YR92!C45+YR93!C45</f>
        <v>289921</v>
      </c>
      <c r="D42" s="22">
        <f>YR91!D45+YR92!D45+YR93!D45</f>
        <v>31976</v>
      </c>
      <c r="E42" s="22">
        <f>YR91!E45+YR92!E45+YR93!E45</f>
        <v>0</v>
      </c>
      <c r="F42" s="23">
        <f t="shared" si="1"/>
        <v>0</v>
      </c>
      <c r="G42" s="41"/>
    </row>
    <row r="43" spans="1:7" ht="18" customHeight="1">
      <c r="A43" s="61" t="s">
        <v>96</v>
      </c>
      <c r="B43" s="22">
        <f>YR91!B46+YR92!B46+YR93!B46</f>
        <v>359154</v>
      </c>
      <c r="C43" s="22">
        <f>YR91!C46+YR92!C46+YR93!C46</f>
        <v>359154</v>
      </c>
      <c r="D43" s="22">
        <f>YR91!D46+YR92!D46+YR93!D46</f>
        <v>0</v>
      </c>
      <c r="E43" s="22">
        <f>YR91!E46+YR92!E46+YR93!E46</f>
        <v>0</v>
      </c>
      <c r="F43" s="23">
        <f t="shared" si="1"/>
        <v>0</v>
      </c>
      <c r="G43" s="41"/>
    </row>
    <row r="44" spans="1:7" ht="18" customHeight="1">
      <c r="A44" s="59" t="s">
        <v>56</v>
      </c>
      <c r="B44" s="22">
        <f>YR91!B47+YR92!B47+YR93!B47</f>
        <v>0</v>
      </c>
      <c r="C44" s="22">
        <f>YR91!C47+YR92!C47+YR93!C47</f>
        <v>0</v>
      </c>
      <c r="D44" s="22">
        <f>YR91!D47+YR92!D47+YR93!D47</f>
        <v>0</v>
      </c>
      <c r="E44" s="22">
        <f>YR91!E47+YR92!E47+YR93!E47</f>
        <v>0</v>
      </c>
      <c r="F44" s="23">
        <f t="shared" si="1"/>
        <v>0</v>
      </c>
      <c r="G44" s="41"/>
    </row>
    <row r="45" spans="1:7" ht="18" customHeight="1">
      <c r="A45" s="59" t="s">
        <v>57</v>
      </c>
      <c r="B45" s="22">
        <f>YR91!B48+YR92!B48+YR93!B48</f>
        <v>1209055</v>
      </c>
      <c r="C45" s="22">
        <f>YR91!C48+YR92!C48+YR93!C48</f>
        <v>1209055</v>
      </c>
      <c r="D45" s="22">
        <f>YR91!D48+YR92!D48+YR93!D48</f>
        <v>0</v>
      </c>
      <c r="E45" s="22">
        <f>YR91!E48+YR92!E48+YR93!E48</f>
        <v>0</v>
      </c>
      <c r="F45" s="23">
        <f t="shared" si="1"/>
        <v>0</v>
      </c>
      <c r="G45" s="41"/>
    </row>
    <row r="46" spans="1:7" ht="18" customHeight="1">
      <c r="A46" s="59" t="s">
        <v>38</v>
      </c>
      <c r="B46" s="22">
        <f>YR91!B49+YR92!B49+YR93!B49</f>
        <v>5510150</v>
      </c>
      <c r="C46" s="22">
        <f>YR91!C49+YR92!C49+YR93!C49</f>
        <v>5510150</v>
      </c>
      <c r="D46" s="22">
        <f>YR91!D49+YR92!D49+YR93!D49</f>
        <v>0</v>
      </c>
      <c r="E46" s="22">
        <f>YR91!E49+YR92!E49+YR93!E49</f>
        <v>0</v>
      </c>
      <c r="F46" s="23">
        <f t="shared" si="1"/>
        <v>0</v>
      </c>
      <c r="G46" s="41"/>
    </row>
    <row r="47" spans="1:7" ht="18" customHeight="1">
      <c r="A47" s="59" t="s">
        <v>39</v>
      </c>
      <c r="B47" s="22">
        <f>YR91!B50+YR92!B50+YR93!B50</f>
        <v>3261080</v>
      </c>
      <c r="C47" s="22">
        <f>YR91!C50+YR92!C50+YR93!C50</f>
        <v>3261080</v>
      </c>
      <c r="D47" s="22">
        <f>YR91!D50+YR92!D50+YR93!D50</f>
        <v>0</v>
      </c>
      <c r="E47" s="22">
        <f>YR91!E50+YR92!E50+YR93!E50</f>
        <v>0</v>
      </c>
      <c r="F47" s="23">
        <f t="shared" si="1"/>
        <v>0</v>
      </c>
      <c r="G47" s="41"/>
    </row>
    <row r="48" spans="1:7" ht="18" customHeight="1">
      <c r="A48" s="59" t="s">
        <v>40</v>
      </c>
      <c r="B48" s="22">
        <f>YR91!B51+YR92!B51+YR93!B51</f>
        <v>3136227</v>
      </c>
      <c r="C48" s="22">
        <f>YR91!C51+YR92!C51+YR93!C51</f>
        <v>3136227</v>
      </c>
      <c r="D48" s="22">
        <f>YR91!D51+YR92!D51+YR93!D51</f>
        <v>0</v>
      </c>
      <c r="E48" s="22">
        <f>YR91!E51+YR92!E51+YR93!E51</f>
        <v>0</v>
      </c>
      <c r="F48" s="23">
        <f t="shared" si="1"/>
        <v>0</v>
      </c>
      <c r="G48" s="41"/>
    </row>
    <row r="49" spans="1:7" ht="18" customHeight="1">
      <c r="A49" s="59" t="s">
        <v>41</v>
      </c>
      <c r="B49" s="22">
        <f>YR91!B52+YR92!B52+YR93!B52</f>
        <v>0</v>
      </c>
      <c r="C49" s="22">
        <f>YR91!C52+YR92!C52+YR93!C52</f>
        <v>0</v>
      </c>
      <c r="D49" s="22">
        <f>YR91!D52+YR92!D52+YR93!D52</f>
        <v>0</v>
      </c>
      <c r="E49" s="22">
        <f>YR91!E52+YR92!E52+YR93!E52</f>
        <v>0</v>
      </c>
      <c r="F49" s="23">
        <f t="shared" si="1"/>
        <v>0</v>
      </c>
      <c r="G49" s="41"/>
    </row>
    <row r="50" spans="1:7" ht="18" customHeight="1">
      <c r="A50" s="59" t="s">
        <v>42</v>
      </c>
      <c r="B50" s="22">
        <f>YR91!B53+YR92!B53+YR93!B53</f>
        <v>0</v>
      </c>
      <c r="C50" s="22">
        <f>YR91!C53+YR92!C53+YR93!C53</f>
        <v>0</v>
      </c>
      <c r="D50" s="22">
        <f>YR91!D53+YR92!D53+YR93!D53</f>
        <v>0</v>
      </c>
      <c r="E50" s="22">
        <f>YR91!E53+YR92!E53+YR93!E53</f>
        <v>0</v>
      </c>
      <c r="F50" s="23">
        <f t="shared" si="1"/>
        <v>0</v>
      </c>
      <c r="G50" s="41"/>
    </row>
    <row r="51" spans="1:7" ht="18" customHeight="1">
      <c r="A51" s="59" t="s">
        <v>43</v>
      </c>
      <c r="B51" s="22">
        <f>YR91!B54+YR92!B54+YR93!B54</f>
        <v>1425396</v>
      </c>
      <c r="C51" s="22">
        <f>YR91!C54+YR92!C54+YR93!C54+130333.64</f>
        <v>915933.64</v>
      </c>
      <c r="D51" s="22">
        <f>YR91!D54+YR92!D54+YR93!D54</f>
        <v>0</v>
      </c>
      <c r="E51" s="22">
        <f>YR91!E54+YR92!E54+YR93!E54</f>
        <v>0</v>
      </c>
      <c r="F51" s="23">
        <f t="shared" si="1"/>
        <v>509462.36</v>
      </c>
      <c r="G51" s="41"/>
    </row>
    <row r="52" spans="1:7" ht="18" customHeight="1">
      <c r="A52" s="59" t="s">
        <v>58</v>
      </c>
      <c r="B52" s="22">
        <f>YR91!B55+YR92!B55+YR93!B55</f>
        <v>559639</v>
      </c>
      <c r="C52" s="22">
        <f>YR91!C55+YR92!C55+YR93!C55</f>
        <v>559639</v>
      </c>
      <c r="D52" s="22">
        <f>YR91!D55+YR92!D55+YR93!D55</f>
        <v>0</v>
      </c>
      <c r="E52" s="22">
        <f>YR91!E55+YR92!E55+YR93!E55</f>
        <v>0</v>
      </c>
      <c r="F52" s="23">
        <f t="shared" si="1"/>
        <v>0</v>
      </c>
      <c r="G52" s="41"/>
    </row>
    <row r="53" spans="1:7" ht="18" customHeight="1">
      <c r="A53" s="59" t="s">
        <v>44</v>
      </c>
      <c r="B53" s="22">
        <f>YR91!B56+YR92!B56+YR93!B56</f>
        <v>13826548</v>
      </c>
      <c r="C53" s="22">
        <f>YR91!C56+YR92!C56+YR93!C56</f>
        <v>13826548</v>
      </c>
      <c r="D53" s="22">
        <f>YR91!D56+YR92!D56+YR93!D56</f>
        <v>0</v>
      </c>
      <c r="E53" s="22">
        <f>YR91!E56+YR92!E56+YR93!E56</f>
        <v>0</v>
      </c>
      <c r="F53" s="23">
        <f t="shared" si="1"/>
        <v>0</v>
      </c>
      <c r="G53" s="41"/>
    </row>
    <row r="54" spans="1:7" ht="18" customHeight="1">
      <c r="A54" s="59" t="s">
        <v>45</v>
      </c>
      <c r="B54" s="22">
        <f>YR91!B57+YR92!B57+YR93!B57</f>
        <v>60001569</v>
      </c>
      <c r="C54" s="22">
        <f>YR91!C57+YR92!C57+YR93!C57</f>
        <v>56374459</v>
      </c>
      <c r="D54" s="22">
        <f>YR91!D57+YR92!D57+YR93!D57</f>
        <v>3627110</v>
      </c>
      <c r="E54" s="22">
        <f>YR91!E57+YR92!E57+YR93!E57</f>
        <v>0</v>
      </c>
      <c r="F54" s="23">
        <f t="shared" si="1"/>
        <v>0</v>
      </c>
      <c r="G54" s="41"/>
    </row>
    <row r="55" spans="1:7" ht="18" customHeight="1" thickBot="1">
      <c r="A55" s="62" t="s">
        <v>46</v>
      </c>
      <c r="B55" s="22">
        <f>YR91!B58+YR92!B58+YR93!B58</f>
        <v>0</v>
      </c>
      <c r="C55" s="22">
        <f>YR91!C58+YR92!C58+YR93!C58</f>
        <v>0</v>
      </c>
      <c r="D55" s="22">
        <f>YR91!D58+YR92!D58+YR93!D58</f>
        <v>0</v>
      </c>
      <c r="E55" s="22">
        <f>YR91!E58+YR92!E58+YR93!E58</f>
        <v>0</v>
      </c>
      <c r="F55" s="24">
        <f t="shared" si="1"/>
        <v>0</v>
      </c>
      <c r="G55" s="41"/>
    </row>
    <row r="56" spans="1:7" ht="19.5" customHeight="1" thickBot="1">
      <c r="A56" s="65" t="s">
        <v>2</v>
      </c>
      <c r="B56" s="16">
        <f>SUM(B8:B55)</f>
        <v>234929241</v>
      </c>
      <c r="C56" s="16">
        <f>SUM(C8:C55)</f>
        <v>206123217.64</v>
      </c>
      <c r="D56" s="16">
        <f>SUM(D8:D55)</f>
        <v>4366255</v>
      </c>
      <c r="E56" s="16">
        <f>SUM(E8:E55)</f>
        <v>0</v>
      </c>
      <c r="F56" s="19">
        <f>SUM(F8:F55)</f>
        <v>24439768.36</v>
      </c>
      <c r="G56" s="41"/>
    </row>
    <row r="57" spans="1:7" ht="15.75">
      <c r="A57" s="12"/>
      <c r="B57" s="12"/>
      <c r="C57" s="12"/>
      <c r="D57" s="12"/>
      <c r="E57" s="13"/>
      <c r="F57" s="13"/>
      <c r="G57" s="41"/>
    </row>
    <row r="58" spans="1:7" ht="15.75">
      <c r="A58" s="20"/>
      <c r="B58" s="12"/>
      <c r="C58" s="12"/>
      <c r="D58" s="12"/>
      <c r="E58" s="12"/>
      <c r="F58" s="12"/>
      <c r="G58" s="41"/>
    </row>
    <row r="59" spans="1:7" ht="15.75">
      <c r="A59" s="20"/>
      <c r="B59" s="12"/>
      <c r="C59" s="12"/>
      <c r="D59" s="12"/>
      <c r="E59" s="12"/>
      <c r="F59" s="12"/>
      <c r="G59" s="41"/>
    </row>
    <row r="60" spans="1:7" ht="15.75">
      <c r="A60" s="12"/>
      <c r="B60" s="12"/>
      <c r="C60" s="12"/>
      <c r="D60" s="12"/>
      <c r="E60" s="12"/>
      <c r="F60" s="12"/>
      <c r="G60" s="41"/>
    </row>
    <row r="61" spans="1:7" ht="16.5" thickBot="1">
      <c r="A61" s="12"/>
      <c r="B61" s="12"/>
      <c r="C61" s="12"/>
      <c r="D61" s="12"/>
      <c r="E61" s="12"/>
      <c r="F61" s="12"/>
      <c r="G61" s="41"/>
    </row>
    <row r="62" spans="1:7" ht="15.75" customHeight="1" thickBot="1">
      <c r="A62" s="48" t="s">
        <v>67</v>
      </c>
      <c r="B62" s="49">
        <f>B10+B11+B13+B16+B18+B23+B30+B32+B39+B41+B43+B44+B49+B50+B51+B55</f>
        <v>27968772</v>
      </c>
      <c r="C62" s="49">
        <f>C10+C11+C13+C16+C18+C23+C30+C32+C39+C41+C43+C44+C49+C50+C51+C55</f>
        <v>3529003.64</v>
      </c>
      <c r="D62" s="49">
        <f>D10+D11+D13+D16+D18+D23+D30+D32+D39+D41+D43+D44+D49+D50+D51+D55</f>
        <v>0</v>
      </c>
      <c r="E62" s="49">
        <f>E10+E11+E13+E16+E18+E23+E30+E32+E39+E41+E43+E44+E49+E50+E51+E55</f>
        <v>0</v>
      </c>
      <c r="F62" s="50">
        <f>B62-C62-D62-E62</f>
        <v>24439768.36</v>
      </c>
      <c r="G62" s="41"/>
    </row>
    <row r="63" ht="15.75">
      <c r="G63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K38"/>
  <sheetViews>
    <sheetView view="pageBreakPreview" zoomScale="70" zoomScaleNormal="75" zoomScaleSheetLayoutView="70" workbookViewId="0" topLeftCell="B16">
      <selection activeCell="A10" sqref="A10"/>
    </sheetView>
  </sheetViews>
  <sheetFormatPr defaultColWidth="8.796875" defaultRowHeight="15"/>
  <cols>
    <col min="1" max="1" width="30.796875" style="211" customWidth="1"/>
    <col min="2" max="2" width="12.09765625" style="211" customWidth="1"/>
    <col min="3" max="3" width="12.796875" style="211" customWidth="1"/>
    <col min="4" max="4" width="12.69921875" style="211" customWidth="1"/>
    <col min="5" max="6" width="11.19921875" style="211" customWidth="1"/>
    <col min="7" max="7" width="12.69921875" style="211" customWidth="1"/>
    <col min="8" max="8" width="12.3984375" style="211" customWidth="1"/>
    <col min="9" max="10" width="12.796875" style="211" customWidth="1"/>
    <col min="11" max="11" width="5.3984375" style="211" customWidth="1"/>
    <col min="12" max="16384" width="8.8984375" style="211" customWidth="1"/>
  </cols>
  <sheetData>
    <row r="1" spans="1:3" ht="15.75" customHeight="1">
      <c r="A1" s="298" t="s">
        <v>249</v>
      </c>
      <c r="C1" s="212"/>
    </row>
    <row r="2" spans="1:3" ht="15.75" customHeight="1">
      <c r="A2" s="298" t="s">
        <v>253</v>
      </c>
      <c r="C2" s="212"/>
    </row>
    <row r="3" ht="18" customHeight="1">
      <c r="A3" s="361" t="s">
        <v>248</v>
      </c>
    </row>
    <row r="4" ht="18" customHeight="1">
      <c r="A4" s="205"/>
    </row>
    <row r="5" spans="1:11" ht="19.5" customHeight="1">
      <c r="A5" s="380" t="s">
        <v>173</v>
      </c>
      <c r="B5" s="380"/>
      <c r="C5" s="380"/>
      <c r="D5" s="380"/>
      <c r="E5" s="380"/>
      <c r="F5" s="380"/>
      <c r="G5" s="380"/>
      <c r="H5" s="380"/>
      <c r="I5" s="380"/>
      <c r="J5" s="380"/>
      <c r="K5" s="265"/>
    </row>
    <row r="6" spans="1:11" ht="19.5" customHeight="1">
      <c r="A6" s="381" t="s">
        <v>244</v>
      </c>
      <c r="B6" s="381"/>
      <c r="C6" s="381"/>
      <c r="D6" s="381"/>
      <c r="E6" s="381"/>
      <c r="F6" s="381"/>
      <c r="G6" s="381"/>
      <c r="H6" s="381"/>
      <c r="I6" s="381"/>
      <c r="J6" s="381"/>
      <c r="K6" s="265"/>
    </row>
    <row r="7" spans="1:11" ht="19.5" customHeight="1">
      <c r="A7" s="380" t="s">
        <v>149</v>
      </c>
      <c r="B7" s="380"/>
      <c r="C7" s="380"/>
      <c r="D7" s="380"/>
      <c r="E7" s="380"/>
      <c r="F7" s="380"/>
      <c r="G7" s="380"/>
      <c r="H7" s="380"/>
      <c r="I7" s="380"/>
      <c r="J7" s="380"/>
      <c r="K7" s="265"/>
    </row>
    <row r="8" spans="1:11" s="347" customFormat="1" ht="30" customHeight="1" thickBot="1">
      <c r="A8" s="382" t="s">
        <v>238</v>
      </c>
      <c r="B8" s="382"/>
      <c r="C8" s="382"/>
      <c r="D8" s="382"/>
      <c r="E8" s="382"/>
      <c r="F8" s="382"/>
      <c r="G8" s="382"/>
      <c r="H8" s="382"/>
      <c r="I8" s="382"/>
      <c r="J8" s="382"/>
      <c r="K8" s="348"/>
    </row>
    <row r="9" spans="1:11" ht="19.5" customHeight="1" thickBot="1">
      <c r="A9" s="266" t="s">
        <v>154</v>
      </c>
      <c r="B9" s="267" t="s">
        <v>6</v>
      </c>
      <c r="C9" s="268" t="s">
        <v>7</v>
      </c>
      <c r="D9" s="269" t="s">
        <v>8</v>
      </c>
      <c r="E9" s="270" t="s">
        <v>85</v>
      </c>
      <c r="F9" s="270" t="s">
        <v>110</v>
      </c>
      <c r="G9" s="270" t="s">
        <v>228</v>
      </c>
      <c r="H9" s="270" t="s">
        <v>111</v>
      </c>
      <c r="I9" s="270">
        <v>2009</v>
      </c>
      <c r="J9" s="270" t="s">
        <v>229</v>
      </c>
      <c r="K9" s="265"/>
    </row>
    <row r="10" spans="1:10" ht="19.5" customHeight="1">
      <c r="A10" s="271" t="s">
        <v>155</v>
      </c>
      <c r="B10" s="316">
        <v>234929241</v>
      </c>
      <c r="C10" s="316">
        <v>424841347</v>
      </c>
      <c r="D10" s="316">
        <v>472567009</v>
      </c>
      <c r="E10" s="317">
        <v>440000001</v>
      </c>
      <c r="F10" s="317">
        <v>474000000.0049468</v>
      </c>
      <c r="G10" s="317">
        <v>367630989.2999999</v>
      </c>
      <c r="H10" s="318">
        <v>2413968587.3049464</v>
      </c>
      <c r="I10" s="319">
        <v>133333333.56000002</v>
      </c>
      <c r="J10" s="319">
        <v>2547301920.8649464</v>
      </c>
    </row>
    <row r="11" spans="1:10" ht="19.5" customHeight="1">
      <c r="A11" s="285" t="s">
        <v>156</v>
      </c>
      <c r="B11" s="316">
        <v>206290209.27</v>
      </c>
      <c r="C11" s="316">
        <v>381509659</v>
      </c>
      <c r="D11" s="316">
        <v>412094903.78</v>
      </c>
      <c r="E11" s="317">
        <v>406524718.81</v>
      </c>
      <c r="F11" s="317">
        <v>415073240.9200001</v>
      </c>
      <c r="G11" s="317">
        <v>298529914.84</v>
      </c>
      <c r="H11" s="317">
        <v>2120022646.62</v>
      </c>
      <c r="I11" s="320">
        <v>6027827.909999999</v>
      </c>
      <c r="J11" s="320">
        <v>2126050474.53</v>
      </c>
    </row>
    <row r="12" spans="1:10" ht="19.5" customHeight="1">
      <c r="A12" s="272" t="s">
        <v>157</v>
      </c>
      <c r="B12" s="316">
        <v>4366255</v>
      </c>
      <c r="C12" s="316">
        <v>11955410</v>
      </c>
      <c r="D12" s="316">
        <v>22035587</v>
      </c>
      <c r="E12" s="317">
        <v>22658352.47</v>
      </c>
      <c r="F12" s="317">
        <v>48181291</v>
      </c>
      <c r="G12" s="317">
        <v>19083103</v>
      </c>
      <c r="H12" s="317">
        <v>128279998.47</v>
      </c>
      <c r="I12" s="320">
        <v>0</v>
      </c>
      <c r="J12" s="320">
        <v>128279998.47</v>
      </c>
    </row>
    <row r="13" spans="1:10" ht="19.5" customHeight="1">
      <c r="A13" s="272" t="s">
        <v>158</v>
      </c>
      <c r="B13" s="316">
        <v>0</v>
      </c>
      <c r="C13" s="316">
        <v>0</v>
      </c>
      <c r="D13" s="316">
        <v>0</v>
      </c>
      <c r="E13" s="317">
        <v>0</v>
      </c>
      <c r="F13" s="317">
        <v>2315000.05</v>
      </c>
      <c r="G13" s="317">
        <v>25963281.979999997</v>
      </c>
      <c r="H13" s="317">
        <v>28278282.029999994</v>
      </c>
      <c r="I13" s="320">
        <v>0</v>
      </c>
      <c r="J13" s="320">
        <v>28278282.029999994</v>
      </c>
    </row>
    <row r="14" spans="1:10" ht="19.5" customHeight="1">
      <c r="A14" s="272" t="s">
        <v>159</v>
      </c>
      <c r="B14" s="321">
        <v>210656464.27</v>
      </c>
      <c r="C14" s="321">
        <v>393465069</v>
      </c>
      <c r="D14" s="321">
        <v>434130490.78</v>
      </c>
      <c r="E14" s="321">
        <v>429183071.28</v>
      </c>
      <c r="F14" s="321">
        <v>465569531.9700001</v>
      </c>
      <c r="G14" s="321">
        <v>343576299.82</v>
      </c>
      <c r="H14" s="321">
        <v>2276580927.12</v>
      </c>
      <c r="I14" s="321">
        <v>6027827.909999999</v>
      </c>
      <c r="J14" s="321">
        <v>2282608755.0299997</v>
      </c>
    </row>
    <row r="15" spans="1:10" ht="19.5" customHeight="1">
      <c r="A15" s="272" t="s">
        <v>160</v>
      </c>
      <c r="B15" s="321">
        <v>0</v>
      </c>
      <c r="C15" s="321">
        <v>8098267</v>
      </c>
      <c r="D15" s="321">
        <v>0</v>
      </c>
      <c r="E15" s="321">
        <v>0</v>
      </c>
      <c r="F15" s="316">
        <v>0</v>
      </c>
      <c r="G15" s="317">
        <v>32869133</v>
      </c>
      <c r="H15" s="321">
        <v>40967400</v>
      </c>
      <c r="I15" s="315">
        <v>0</v>
      </c>
      <c r="J15" s="315">
        <v>40967400</v>
      </c>
    </row>
    <row r="16" spans="1:10" ht="19.5" customHeight="1">
      <c r="A16" s="272" t="s">
        <v>161</v>
      </c>
      <c r="B16" s="321">
        <v>24272776.72999999</v>
      </c>
      <c r="C16" s="321">
        <v>31376278</v>
      </c>
      <c r="D16" s="321">
        <v>38436518.22000003</v>
      </c>
      <c r="E16" s="321">
        <v>10816929.720000029</v>
      </c>
      <c r="F16" s="321">
        <v>8430468.03494674</v>
      </c>
      <c r="G16" s="321">
        <v>24054689.4799999</v>
      </c>
      <c r="H16" s="321">
        <v>137387660.18494654</v>
      </c>
      <c r="I16" s="321">
        <v>127305505.65000002</v>
      </c>
      <c r="J16" s="321">
        <v>264693165.83494657</v>
      </c>
    </row>
    <row r="17" spans="1:10" ht="19.5" customHeight="1">
      <c r="A17" s="273" t="s">
        <v>162</v>
      </c>
      <c r="B17" s="322">
        <v>0.8966804786552731</v>
      </c>
      <c r="C17" s="322">
        <v>0.9261458937046445</v>
      </c>
      <c r="D17" s="322">
        <v>0.9186644063424241</v>
      </c>
      <c r="E17" s="322">
        <v>0.9754160688740543</v>
      </c>
      <c r="F17" s="322">
        <v>0.9822142024581039</v>
      </c>
      <c r="G17" s="322">
        <v>0.9345683846571203</v>
      </c>
      <c r="H17" s="322">
        <v>0.9430863927113767</v>
      </c>
      <c r="I17" s="322">
        <v>0.045208709248145185</v>
      </c>
      <c r="J17" s="322">
        <v>0.8960888131607623</v>
      </c>
    </row>
    <row r="18" spans="1:10" ht="19.5" customHeight="1">
      <c r="A18" s="274"/>
      <c r="B18" s="323"/>
      <c r="C18" s="323"/>
      <c r="D18" s="323"/>
      <c r="E18" s="323"/>
      <c r="F18" s="323"/>
      <c r="G18" s="323"/>
      <c r="H18" s="323"/>
      <c r="I18" s="324"/>
      <c r="J18" s="324"/>
    </row>
    <row r="19" spans="1:10" ht="19.5" customHeight="1">
      <c r="A19" s="274" t="s">
        <v>163</v>
      </c>
      <c r="B19" s="321">
        <v>5323644</v>
      </c>
      <c r="C19" s="321">
        <v>28525733</v>
      </c>
      <c r="D19" s="321">
        <v>44685516</v>
      </c>
      <c r="E19" s="325">
        <v>53946601</v>
      </c>
      <c r="F19" s="326">
        <v>19374449</v>
      </c>
      <c r="G19" s="327">
        <v>40292243</v>
      </c>
      <c r="H19" s="325">
        <v>192148186</v>
      </c>
      <c r="I19" s="328">
        <v>0</v>
      </c>
      <c r="J19" s="329">
        <v>192148186</v>
      </c>
    </row>
    <row r="20" spans="1:10" ht="19.5" customHeight="1">
      <c r="A20" s="366" t="s">
        <v>258</v>
      </c>
      <c r="B20" s="321"/>
      <c r="C20" s="321"/>
      <c r="D20" s="321"/>
      <c r="E20" s="325"/>
      <c r="F20" s="326"/>
      <c r="G20" s="327">
        <v>1198947</v>
      </c>
      <c r="H20" s="325">
        <v>1198947</v>
      </c>
      <c r="I20" s="328">
        <v>0</v>
      </c>
      <c r="J20" s="329">
        <v>1198947</v>
      </c>
    </row>
    <row r="21" spans="1:10" ht="19.5" customHeight="1">
      <c r="A21" s="274" t="s">
        <v>164</v>
      </c>
      <c r="B21" s="321">
        <v>1442103.26</v>
      </c>
      <c r="C21" s="321">
        <v>1297365.57</v>
      </c>
      <c r="D21" s="321">
        <v>1223597.87</v>
      </c>
      <c r="E21" s="325">
        <v>1125282.28</v>
      </c>
      <c r="F21" s="326">
        <v>1386177</v>
      </c>
      <c r="G21" s="327">
        <v>3377184.13</v>
      </c>
      <c r="H21" s="325">
        <v>9851710.11</v>
      </c>
      <c r="I21" s="328">
        <v>0</v>
      </c>
      <c r="J21" s="329">
        <v>9851710.11</v>
      </c>
    </row>
    <row r="22" spans="1:10" ht="14.25" customHeight="1" thickBot="1">
      <c r="A22" s="275"/>
      <c r="B22" s="330"/>
      <c r="C22" s="330"/>
      <c r="D22" s="330"/>
      <c r="E22" s="331"/>
      <c r="F22" s="330"/>
      <c r="G22" s="330"/>
      <c r="H22" s="330"/>
      <c r="I22" s="330"/>
      <c r="J22" s="330"/>
    </row>
    <row r="23" spans="1:10" ht="19.5" customHeight="1" thickBot="1">
      <c r="A23" s="276" t="s">
        <v>165</v>
      </c>
      <c r="B23" s="332">
        <v>217422211.53</v>
      </c>
      <c r="C23" s="332">
        <v>423288167.57</v>
      </c>
      <c r="D23" s="332">
        <v>480039604.65</v>
      </c>
      <c r="E23" s="332">
        <v>484254954.55999994</v>
      </c>
      <c r="F23" s="332">
        <v>486330157.9700001</v>
      </c>
      <c r="G23" s="332">
        <v>388444673.95</v>
      </c>
      <c r="H23" s="332">
        <v>2479779770.23</v>
      </c>
      <c r="I23" s="332">
        <v>6027827.909999999</v>
      </c>
      <c r="J23" s="332">
        <v>2485807598.14</v>
      </c>
    </row>
    <row r="24" spans="1:11" ht="12.75" customHeight="1" thickBot="1">
      <c r="A24" s="301"/>
      <c r="B24" s="333"/>
      <c r="C24" s="333"/>
      <c r="D24" s="333"/>
      <c r="E24" s="333"/>
      <c r="F24" s="333"/>
      <c r="G24" s="333"/>
      <c r="H24" s="333"/>
      <c r="I24" s="333"/>
      <c r="J24" s="333"/>
      <c r="K24" s="277"/>
    </row>
    <row r="25" spans="1:10" ht="19.5" customHeight="1" thickBot="1">
      <c r="A25" s="278" t="s">
        <v>166</v>
      </c>
      <c r="B25" s="267" t="s">
        <v>6</v>
      </c>
      <c r="C25" s="268" t="s">
        <v>7</v>
      </c>
      <c r="D25" s="269" t="s">
        <v>8</v>
      </c>
      <c r="E25" s="270" t="s">
        <v>85</v>
      </c>
      <c r="F25" s="270" t="s">
        <v>110</v>
      </c>
      <c r="G25" s="270" t="s">
        <v>228</v>
      </c>
      <c r="H25" s="270" t="s">
        <v>111</v>
      </c>
      <c r="I25" s="270">
        <v>2009</v>
      </c>
      <c r="J25" s="270" t="s">
        <v>229</v>
      </c>
    </row>
    <row r="26" spans="1:10" ht="19.5" customHeight="1">
      <c r="A26" s="279" t="s">
        <v>167</v>
      </c>
      <c r="B26" s="334">
        <v>234929241</v>
      </c>
      <c r="C26" s="334">
        <v>424841347</v>
      </c>
      <c r="D26" s="334">
        <v>472567009</v>
      </c>
      <c r="E26" s="334">
        <v>440000001</v>
      </c>
      <c r="F26" s="334">
        <v>474000000.0049468</v>
      </c>
      <c r="G26" s="334">
        <v>367630989.2999999</v>
      </c>
      <c r="H26" s="334">
        <v>2413968587.3049464</v>
      </c>
      <c r="I26" s="334">
        <v>133333333.56000002</v>
      </c>
      <c r="J26" s="335">
        <v>2547301920.8649464</v>
      </c>
    </row>
    <row r="27" spans="1:10" ht="19.5" customHeight="1">
      <c r="A27" s="280" t="s">
        <v>159</v>
      </c>
      <c r="B27" s="336">
        <v>210656464.27</v>
      </c>
      <c r="C27" s="336">
        <v>393465069</v>
      </c>
      <c r="D27" s="336">
        <v>434130490.78</v>
      </c>
      <c r="E27" s="336">
        <v>429183071.28</v>
      </c>
      <c r="F27" s="336">
        <v>465569531.9700001</v>
      </c>
      <c r="G27" s="336">
        <v>343576299.82</v>
      </c>
      <c r="H27" s="336">
        <v>2276580927.12</v>
      </c>
      <c r="I27" s="336">
        <v>6027827.909999999</v>
      </c>
      <c r="J27" s="336">
        <v>2282608755.0299997</v>
      </c>
    </row>
    <row r="28" spans="1:10" ht="19.5" customHeight="1">
      <c r="A28" s="280" t="s">
        <v>162</v>
      </c>
      <c r="B28" s="322">
        <v>0.8966804786552731</v>
      </c>
      <c r="C28" s="337">
        <v>0.9261458937046445</v>
      </c>
      <c r="D28" s="337">
        <v>0.9186644063424241</v>
      </c>
      <c r="E28" s="337">
        <v>0.9754160688740543</v>
      </c>
      <c r="F28" s="337">
        <v>0.9822142024581039</v>
      </c>
      <c r="G28" s="337">
        <v>0.9345683846571203</v>
      </c>
      <c r="H28" s="337">
        <v>0.9430863927113767</v>
      </c>
      <c r="I28" s="337">
        <v>0.045208709248145185</v>
      </c>
      <c r="J28" s="322">
        <v>0.8960888131607623</v>
      </c>
    </row>
    <row r="29" spans="1:10" ht="19.5" customHeight="1">
      <c r="A29" s="280" t="s">
        <v>168</v>
      </c>
      <c r="B29" s="336">
        <v>217422211.53</v>
      </c>
      <c r="C29" s="338">
        <v>423288167.57</v>
      </c>
      <c r="D29" s="336">
        <v>480039604.65</v>
      </c>
      <c r="E29" s="336">
        <v>484254954.55999994</v>
      </c>
      <c r="F29" s="336">
        <v>486330157.9700001</v>
      </c>
      <c r="G29" s="336">
        <v>388444673.95</v>
      </c>
      <c r="H29" s="336">
        <v>2479779770.23</v>
      </c>
      <c r="I29" s="336">
        <v>6027827.909999999</v>
      </c>
      <c r="J29" s="336">
        <v>2485807598.14</v>
      </c>
    </row>
    <row r="30" spans="1:10" ht="19.5" customHeight="1">
      <c r="A30" s="280" t="s">
        <v>169</v>
      </c>
      <c r="B30" s="336">
        <v>24272776.72999999</v>
      </c>
      <c r="C30" s="338">
        <v>31376278</v>
      </c>
      <c r="D30" s="338">
        <v>38436518.22000003</v>
      </c>
      <c r="E30" s="338">
        <v>10816929.720000029</v>
      </c>
      <c r="F30" s="338">
        <v>8430468.03494674</v>
      </c>
      <c r="G30" s="338">
        <v>24054689.4799999</v>
      </c>
      <c r="H30" s="338">
        <v>137387660.18494654</v>
      </c>
      <c r="I30" s="338">
        <v>127305505.65000002</v>
      </c>
      <c r="J30" s="336">
        <v>264693165.83494663</v>
      </c>
    </row>
    <row r="31" spans="1:10" ht="19.5" customHeight="1">
      <c r="A31" s="280" t="s">
        <v>170</v>
      </c>
      <c r="B31" s="322">
        <v>0.1033195213447269</v>
      </c>
      <c r="C31" s="337">
        <v>0.07385410629535548</v>
      </c>
      <c r="D31" s="337">
        <v>0.08133559365757594</v>
      </c>
      <c r="E31" s="337">
        <v>0.024583931125945677</v>
      </c>
      <c r="F31" s="337">
        <v>0.01778579754189611</v>
      </c>
      <c r="G31" s="337">
        <v>0.06543161534287965</v>
      </c>
      <c r="H31" s="337">
        <v>0.05691360728862332</v>
      </c>
      <c r="I31" s="337">
        <v>0.9547912907518549</v>
      </c>
      <c r="J31" s="322">
        <v>0.10391118683923774</v>
      </c>
    </row>
    <row r="32" spans="1:10" ht="46.5" customHeight="1">
      <c r="A32" s="281" t="s">
        <v>171</v>
      </c>
      <c r="B32" s="321">
        <v>24272776.73</v>
      </c>
      <c r="C32" s="321">
        <v>31376278</v>
      </c>
      <c r="D32" s="321">
        <v>32764258.45</v>
      </c>
      <c r="E32" s="321">
        <v>9811798</v>
      </c>
      <c r="F32" s="321">
        <v>7511983.174946801</v>
      </c>
      <c r="G32" s="321">
        <v>6366430.630000001</v>
      </c>
      <c r="H32" s="321">
        <v>112103524.9849468</v>
      </c>
      <c r="I32" s="339">
        <v>3135930.95</v>
      </c>
      <c r="J32" s="321">
        <v>115239455.9349468</v>
      </c>
    </row>
    <row r="33" spans="1:10" ht="47.25" customHeight="1" thickBot="1">
      <c r="A33" s="300" t="s">
        <v>172</v>
      </c>
      <c r="B33" s="340">
        <v>0.10331952134472694</v>
      </c>
      <c r="C33" s="341">
        <v>0.07385410629535548</v>
      </c>
      <c r="D33" s="340">
        <v>0.06933251332828441</v>
      </c>
      <c r="E33" s="340">
        <v>0.022299540858410134</v>
      </c>
      <c r="F33" s="340">
        <v>0.015848065769764563</v>
      </c>
      <c r="G33" s="340">
        <v>0.017317448243746307</v>
      </c>
      <c r="H33" s="340">
        <v>0.04643951274863265</v>
      </c>
      <c r="I33" s="340">
        <v>0.02351948208501688</v>
      </c>
      <c r="J33" s="340">
        <v>0.045239810401358625</v>
      </c>
    </row>
    <row r="34" spans="1:10" ht="51" customHeight="1">
      <c r="A34" s="379" t="s">
        <v>224</v>
      </c>
      <c r="B34" s="379"/>
      <c r="C34" s="379"/>
      <c r="D34" s="379"/>
      <c r="E34" s="379"/>
      <c r="F34" s="379"/>
      <c r="G34" s="379"/>
      <c r="H34" s="379"/>
      <c r="I34" s="379"/>
      <c r="J34" s="379"/>
    </row>
    <row r="35" spans="1:6" ht="13.5" customHeight="1">
      <c r="A35" s="283"/>
      <c r="B35" s="282"/>
      <c r="C35" s="282"/>
      <c r="D35" s="282"/>
      <c r="E35" s="282"/>
      <c r="F35" s="282"/>
    </row>
    <row r="36" ht="15">
      <c r="G36" s="282"/>
    </row>
    <row r="37" ht="18.75" customHeight="1">
      <c r="G37" s="282"/>
    </row>
    <row r="38" ht="15">
      <c r="A38" s="284"/>
    </row>
  </sheetData>
  <mergeCells count="5">
    <mergeCell ref="A34:J34"/>
    <mergeCell ref="A7:J7"/>
    <mergeCell ref="A6:J6"/>
    <mergeCell ref="A5:J5"/>
    <mergeCell ref="A8:J8"/>
  </mergeCells>
  <printOptions horizontalCentered="1" verticalCentered="1"/>
  <pageMargins left="0.2" right="0.196850393700787" top="0.68" bottom="0.53" header="0.56" footer="0"/>
  <pageSetup horizontalDpi="600" verticalDpi="600" orientation="landscape" scale="6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11"/>
  <dimension ref="A1:F64"/>
  <sheetViews>
    <sheetView zoomScale="75" zoomScaleNormal="75" zoomScaleSheetLayoutView="75" workbookViewId="0" topLeftCell="A2">
      <selection activeCell="B15" sqref="B15"/>
    </sheetView>
  </sheetViews>
  <sheetFormatPr defaultColWidth="8.796875" defaultRowHeight="15"/>
  <cols>
    <col min="1" max="1" width="20.2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16384" width="8.8984375" style="2" customWidth="1"/>
  </cols>
  <sheetData>
    <row r="1" spans="1:6" ht="15.75" customHeight="1">
      <c r="A1" s="42"/>
      <c r="B1" s="47"/>
      <c r="F1" s="4" t="str">
        <f>status!$C$1</f>
        <v>UNEP/OzL.Pro/ExCom/57/L.1</v>
      </c>
    </row>
    <row r="2" spans="1:6" ht="15.75" customHeight="1">
      <c r="A2" s="42"/>
      <c r="B2" s="5"/>
      <c r="F2" s="4" t="s">
        <v>81</v>
      </c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70</v>
      </c>
      <c r="B5" s="6"/>
      <c r="C5" s="8"/>
      <c r="D5" s="8"/>
      <c r="E5" s="6"/>
      <c r="F5" s="6"/>
    </row>
    <row r="6" spans="1:6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ht="32.25" thickBot="1">
      <c r="A7" s="73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74" t="s">
        <v>10</v>
      </c>
      <c r="B8" s="34">
        <v>2719451</v>
      </c>
      <c r="C8" s="34">
        <v>2719451</v>
      </c>
      <c r="D8" s="34">
        <v>0</v>
      </c>
      <c r="E8" s="34">
        <v>0</v>
      </c>
      <c r="F8" s="11">
        <f>B8-C8-D8-E8</f>
        <v>0</v>
      </c>
    </row>
    <row r="9" spans="1:6" ht="18" customHeight="1">
      <c r="A9" s="75" t="s">
        <v>11</v>
      </c>
      <c r="B9" s="22">
        <v>1589409</v>
      </c>
      <c r="C9" s="22">
        <v>1574247</v>
      </c>
      <c r="D9" s="22">
        <v>15162</v>
      </c>
      <c r="E9" s="22">
        <v>0</v>
      </c>
      <c r="F9" s="23">
        <f aca="true" t="shared" si="0" ref="F9:F58">B9-C9-D9-E9</f>
        <v>0</v>
      </c>
    </row>
    <row r="10" spans="1:6" ht="18" customHeight="1">
      <c r="A10" s="77" t="s">
        <v>12</v>
      </c>
      <c r="B10" s="22">
        <v>215902</v>
      </c>
      <c r="C10" s="22">
        <v>0</v>
      </c>
      <c r="D10" s="22">
        <v>0</v>
      </c>
      <c r="E10" s="22">
        <v>0</v>
      </c>
      <c r="F10" s="23">
        <f t="shared" si="0"/>
        <v>215902</v>
      </c>
    </row>
    <row r="11" spans="1:6" ht="18" customHeight="1">
      <c r="A11" s="75" t="s">
        <v>13</v>
      </c>
      <c r="B11" s="22">
        <v>537459</v>
      </c>
      <c r="C11" s="22">
        <v>0</v>
      </c>
      <c r="D11" s="22">
        <v>0</v>
      </c>
      <c r="E11" s="22">
        <v>0</v>
      </c>
      <c r="F11" s="23">
        <f t="shared" si="0"/>
        <v>537459</v>
      </c>
    </row>
    <row r="12" spans="1:6" ht="18" customHeight="1">
      <c r="A12" s="75" t="s">
        <v>14</v>
      </c>
      <c r="B12" s="22">
        <v>1851248</v>
      </c>
      <c r="C12" s="22">
        <v>1742768</v>
      </c>
      <c r="D12" s="22">
        <v>108480</v>
      </c>
      <c r="E12" s="22">
        <v>0</v>
      </c>
      <c r="F12" s="23">
        <f t="shared" si="0"/>
        <v>0</v>
      </c>
    </row>
    <row r="13" spans="1:6" ht="18" customHeight="1">
      <c r="A13" s="75" t="s">
        <v>47</v>
      </c>
      <c r="B13" s="22">
        <v>0</v>
      </c>
      <c r="C13" s="22">
        <v>0</v>
      </c>
      <c r="D13" s="22">
        <v>0</v>
      </c>
      <c r="E13" s="22">
        <v>0</v>
      </c>
      <c r="F13" s="23">
        <f t="shared" si="0"/>
        <v>0</v>
      </c>
    </row>
    <row r="14" spans="1:6" ht="18" customHeight="1">
      <c r="A14" s="75" t="s">
        <v>48</v>
      </c>
      <c r="B14" s="22">
        <v>0</v>
      </c>
      <c r="C14" s="22">
        <v>0</v>
      </c>
      <c r="D14" s="22">
        <v>0</v>
      </c>
      <c r="E14" s="22">
        <v>0</v>
      </c>
      <c r="F14" s="23">
        <f t="shared" si="0"/>
        <v>0</v>
      </c>
    </row>
    <row r="15" spans="1:6" ht="18" customHeight="1">
      <c r="A15" s="75" t="s">
        <v>15</v>
      </c>
      <c r="B15" s="22">
        <v>5700741</v>
      </c>
      <c r="C15" s="22">
        <v>5070281</v>
      </c>
      <c r="D15" s="22">
        <v>630460</v>
      </c>
      <c r="E15" s="22">
        <v>0</v>
      </c>
      <c r="F15" s="23">
        <f t="shared" si="0"/>
        <v>0</v>
      </c>
    </row>
    <row r="16" spans="1:6" ht="18" customHeight="1">
      <c r="A16" s="75" t="s">
        <v>49</v>
      </c>
      <c r="B16" s="22">
        <v>0</v>
      </c>
      <c r="C16" s="22">
        <v>0</v>
      </c>
      <c r="D16" s="22">
        <v>0</v>
      </c>
      <c r="E16" s="22">
        <v>0</v>
      </c>
      <c r="F16" s="23">
        <f t="shared" si="0"/>
        <v>0</v>
      </c>
    </row>
    <row r="17" spans="1:6" ht="18" customHeight="1">
      <c r="A17" s="75" t="s">
        <v>16</v>
      </c>
      <c r="B17" s="22">
        <v>477741</v>
      </c>
      <c r="C17" s="22">
        <v>477741</v>
      </c>
      <c r="D17" s="22">
        <v>0</v>
      </c>
      <c r="E17" s="22">
        <v>0</v>
      </c>
      <c r="F17" s="23">
        <f t="shared" si="0"/>
        <v>0</v>
      </c>
    </row>
    <row r="18" spans="1:6" ht="18" customHeight="1">
      <c r="A18" s="75" t="s">
        <v>17</v>
      </c>
      <c r="B18" s="22">
        <v>1318383</v>
      </c>
      <c r="C18" s="22">
        <v>1318383</v>
      </c>
      <c r="D18" s="22">
        <v>0</v>
      </c>
      <c r="E18" s="22">
        <v>0</v>
      </c>
      <c r="F18" s="23">
        <f t="shared" si="0"/>
        <v>0</v>
      </c>
    </row>
    <row r="19" spans="1:6" ht="18" customHeight="1">
      <c r="A19" s="75" t="s">
        <v>62</v>
      </c>
      <c r="B19" s="22">
        <v>0</v>
      </c>
      <c r="C19" s="22">
        <v>0</v>
      </c>
      <c r="D19" s="22">
        <v>0</v>
      </c>
      <c r="E19" s="22">
        <v>0</v>
      </c>
      <c r="F19" s="23">
        <f t="shared" si="0"/>
        <v>0</v>
      </c>
    </row>
    <row r="20" spans="1:6" ht="18" customHeight="1">
      <c r="A20" s="75" t="s">
        <v>18</v>
      </c>
      <c r="B20" s="22">
        <v>1134636</v>
      </c>
      <c r="C20" s="22">
        <v>907709</v>
      </c>
      <c r="D20" s="22">
        <v>123000</v>
      </c>
      <c r="E20" s="22">
        <v>0</v>
      </c>
      <c r="F20" s="23">
        <f t="shared" si="0"/>
        <v>103927</v>
      </c>
    </row>
    <row r="21" spans="1:6" ht="18" customHeight="1">
      <c r="A21" s="75" t="s">
        <v>19</v>
      </c>
      <c r="B21" s="22">
        <v>11773570</v>
      </c>
      <c r="C21" s="22">
        <v>0</v>
      </c>
      <c r="D21" s="22">
        <v>2859581</v>
      </c>
      <c r="E21" s="22">
        <v>8843366</v>
      </c>
      <c r="F21" s="23">
        <f t="shared" si="0"/>
        <v>70623</v>
      </c>
    </row>
    <row r="22" spans="1:6" ht="18" customHeight="1">
      <c r="A22" s="75" t="s">
        <v>50</v>
      </c>
      <c r="B22" s="22">
        <v>0</v>
      </c>
      <c r="C22" s="22">
        <v>0</v>
      </c>
      <c r="D22" s="22">
        <v>0</v>
      </c>
      <c r="E22" s="22">
        <v>0</v>
      </c>
      <c r="F22" s="23">
        <f t="shared" si="0"/>
        <v>0</v>
      </c>
    </row>
    <row r="23" spans="1:6" ht="18" customHeight="1">
      <c r="A23" s="75" t="s">
        <v>20</v>
      </c>
      <c r="B23" s="22">
        <v>16615295</v>
      </c>
      <c r="C23" s="22">
        <v>8033014</v>
      </c>
      <c r="D23" s="22">
        <v>6366907</v>
      </c>
      <c r="E23" s="22">
        <v>2215374</v>
      </c>
      <c r="F23" s="23">
        <f t="shared" si="0"/>
        <v>0</v>
      </c>
    </row>
    <row r="24" spans="1:6" ht="18" customHeight="1">
      <c r="A24" s="75" t="s">
        <v>21</v>
      </c>
      <c r="B24" s="22">
        <v>698237</v>
      </c>
      <c r="C24" s="22">
        <v>698237</v>
      </c>
      <c r="D24" s="22">
        <v>0</v>
      </c>
      <c r="E24" s="22">
        <v>0</v>
      </c>
      <c r="F24" s="23">
        <f t="shared" si="0"/>
        <v>0</v>
      </c>
    </row>
    <row r="25" spans="1:6" ht="18" customHeight="1">
      <c r="A25" s="75" t="s">
        <v>22</v>
      </c>
      <c r="B25" s="22">
        <v>257245</v>
      </c>
      <c r="C25" s="22">
        <v>257245</v>
      </c>
      <c r="D25" s="22">
        <v>0</v>
      </c>
      <c r="E25" s="22">
        <v>0</v>
      </c>
      <c r="F25" s="23">
        <f t="shared" si="0"/>
        <v>0</v>
      </c>
    </row>
    <row r="26" spans="1:6" ht="18" customHeight="1">
      <c r="A26" s="75" t="s">
        <v>23</v>
      </c>
      <c r="B26" s="22">
        <v>55124</v>
      </c>
      <c r="C26" s="22">
        <v>55124</v>
      </c>
      <c r="D26" s="22">
        <v>0</v>
      </c>
      <c r="E26" s="22">
        <v>0</v>
      </c>
      <c r="F26" s="23">
        <f t="shared" si="0"/>
        <v>0</v>
      </c>
    </row>
    <row r="27" spans="1:6" ht="18" customHeight="1">
      <c r="A27" s="75" t="s">
        <v>24</v>
      </c>
      <c r="B27" s="22">
        <v>385868</v>
      </c>
      <c r="C27" s="22">
        <v>385868</v>
      </c>
      <c r="D27" s="22">
        <v>0</v>
      </c>
      <c r="E27" s="22">
        <v>0</v>
      </c>
      <c r="F27" s="23">
        <f t="shared" si="0"/>
        <v>0</v>
      </c>
    </row>
    <row r="28" spans="1:6" ht="18" customHeight="1">
      <c r="A28" s="75" t="s">
        <v>25</v>
      </c>
      <c r="B28" s="22">
        <v>491522</v>
      </c>
      <c r="C28" s="22">
        <v>491522</v>
      </c>
      <c r="D28" s="22">
        <v>0</v>
      </c>
      <c r="E28" s="22">
        <v>0</v>
      </c>
      <c r="F28" s="23">
        <f t="shared" si="0"/>
        <v>0</v>
      </c>
    </row>
    <row r="29" spans="1:6" ht="18" customHeight="1">
      <c r="A29" s="75" t="s">
        <v>26</v>
      </c>
      <c r="B29" s="22">
        <v>9550235</v>
      </c>
      <c r="C29" s="22">
        <v>9550235</v>
      </c>
      <c r="D29" s="22">
        <v>0</v>
      </c>
      <c r="E29" s="22">
        <v>0</v>
      </c>
      <c r="F29" s="23">
        <f t="shared" si="0"/>
        <v>0</v>
      </c>
    </row>
    <row r="30" spans="1:6" ht="18" customHeight="1">
      <c r="A30" s="75" t="s">
        <v>64</v>
      </c>
      <c r="B30" s="22">
        <v>28361303</v>
      </c>
      <c r="C30" s="93">
        <v>28361303</v>
      </c>
      <c r="D30" s="94">
        <v>0</v>
      </c>
      <c r="E30" s="94">
        <v>0</v>
      </c>
      <c r="F30" s="23">
        <f t="shared" si="0"/>
        <v>0</v>
      </c>
    </row>
    <row r="31" spans="1:6" ht="18" customHeight="1">
      <c r="A31" s="75" t="s">
        <v>51</v>
      </c>
      <c r="B31" s="22">
        <v>0</v>
      </c>
      <c r="C31" s="22">
        <v>0</v>
      </c>
      <c r="D31" s="22">
        <v>0</v>
      </c>
      <c r="E31" s="22">
        <v>0</v>
      </c>
      <c r="F31" s="23">
        <f t="shared" si="0"/>
        <v>0</v>
      </c>
    </row>
    <row r="32" spans="1:6" ht="18" customHeight="1">
      <c r="A32" s="75" t="s">
        <v>52</v>
      </c>
      <c r="B32" s="22">
        <v>139131</v>
      </c>
      <c r="C32" s="22">
        <v>139131</v>
      </c>
      <c r="D32" s="22">
        <v>0</v>
      </c>
      <c r="E32" s="22">
        <v>0</v>
      </c>
      <c r="F32" s="23">
        <f t="shared" si="0"/>
        <v>0</v>
      </c>
    </row>
    <row r="33" spans="1:6" ht="18" customHeight="1">
      <c r="A33" s="75" t="s">
        <v>27</v>
      </c>
      <c r="B33" s="22">
        <v>18375</v>
      </c>
      <c r="C33" s="22">
        <v>18375</v>
      </c>
      <c r="D33" s="22">
        <v>0</v>
      </c>
      <c r="E33" s="22">
        <v>0</v>
      </c>
      <c r="F33" s="23">
        <f t="shared" si="0"/>
        <v>0</v>
      </c>
    </row>
    <row r="34" spans="1:6" ht="18" customHeight="1">
      <c r="A34" s="75" t="s">
        <v>28</v>
      </c>
      <c r="B34" s="22">
        <v>156185</v>
      </c>
      <c r="C34" s="22">
        <v>0</v>
      </c>
      <c r="D34" s="22">
        <v>0</v>
      </c>
      <c r="E34" s="22">
        <v>0</v>
      </c>
      <c r="F34" s="23">
        <f t="shared" si="0"/>
        <v>156185</v>
      </c>
    </row>
    <row r="35" spans="1:6" ht="18" customHeight="1">
      <c r="A35" s="75" t="s">
        <v>29</v>
      </c>
      <c r="B35" s="22">
        <v>128623</v>
      </c>
      <c r="C35" s="22">
        <v>128623</v>
      </c>
      <c r="D35" s="22">
        <v>0</v>
      </c>
      <c r="E35" s="22">
        <v>0</v>
      </c>
      <c r="F35" s="23">
        <f t="shared" si="0"/>
        <v>0</v>
      </c>
    </row>
    <row r="36" spans="1:6" ht="18" customHeight="1">
      <c r="A36" s="75" t="s">
        <v>53</v>
      </c>
      <c r="B36" s="22">
        <v>0</v>
      </c>
      <c r="C36" s="22">
        <v>0</v>
      </c>
      <c r="D36" s="22">
        <v>0</v>
      </c>
      <c r="E36" s="22">
        <v>0</v>
      </c>
      <c r="F36" s="23">
        <f t="shared" si="0"/>
        <v>0</v>
      </c>
    </row>
    <row r="37" spans="1:6" ht="18" customHeight="1">
      <c r="A37" s="75" t="s">
        <v>30</v>
      </c>
      <c r="B37" s="22">
        <v>18375</v>
      </c>
      <c r="C37" s="22">
        <v>18375</v>
      </c>
      <c r="D37" s="22">
        <v>0</v>
      </c>
      <c r="E37" s="22">
        <v>0</v>
      </c>
      <c r="F37" s="23">
        <f t="shared" si="0"/>
        <v>0</v>
      </c>
    </row>
    <row r="38" spans="1:6" ht="18" customHeight="1">
      <c r="A38" s="75" t="s">
        <v>31</v>
      </c>
      <c r="B38" s="22">
        <v>2916979</v>
      </c>
      <c r="C38" s="22">
        <v>2916979</v>
      </c>
      <c r="D38" s="22">
        <v>0</v>
      </c>
      <c r="E38" s="22">
        <v>0</v>
      </c>
      <c r="F38" s="23">
        <f t="shared" si="0"/>
        <v>0</v>
      </c>
    </row>
    <row r="39" spans="1:6" ht="18" customHeight="1">
      <c r="A39" s="75" t="s">
        <v>32</v>
      </c>
      <c r="B39" s="22">
        <v>440992</v>
      </c>
      <c r="C39" s="22">
        <v>440992</v>
      </c>
      <c r="D39" s="22">
        <v>0</v>
      </c>
      <c r="E39" s="22">
        <v>0</v>
      </c>
      <c r="F39" s="23">
        <f t="shared" si="0"/>
        <v>0</v>
      </c>
    </row>
    <row r="40" spans="1:6" ht="18" customHeight="1">
      <c r="A40" s="75" t="s">
        <v>33</v>
      </c>
      <c r="B40" s="22">
        <v>1028982</v>
      </c>
      <c r="C40" s="22">
        <v>1028982</v>
      </c>
      <c r="D40" s="22">
        <v>0</v>
      </c>
      <c r="E40" s="22">
        <v>0</v>
      </c>
      <c r="F40" s="23">
        <f t="shared" si="0"/>
        <v>0</v>
      </c>
    </row>
    <row r="41" spans="1:6" ht="18" customHeight="1">
      <c r="A41" s="75" t="s">
        <v>54</v>
      </c>
      <c r="B41" s="22">
        <v>0</v>
      </c>
      <c r="C41" s="22">
        <v>0</v>
      </c>
      <c r="D41" s="22">
        <v>0</v>
      </c>
      <c r="E41" s="22">
        <v>0</v>
      </c>
      <c r="F41" s="23">
        <f t="shared" si="0"/>
        <v>0</v>
      </c>
    </row>
    <row r="42" spans="1:6" ht="18" customHeight="1">
      <c r="A42" s="75" t="s">
        <v>34</v>
      </c>
      <c r="B42" s="22">
        <v>620145</v>
      </c>
      <c r="C42" s="22">
        <v>620145</v>
      </c>
      <c r="D42" s="22">
        <v>0</v>
      </c>
      <c r="E42" s="22">
        <v>0</v>
      </c>
      <c r="F42" s="23">
        <f t="shared" si="0"/>
        <v>0</v>
      </c>
    </row>
    <row r="43" spans="1:6" ht="18" customHeight="1">
      <c r="A43" s="75" t="s">
        <v>35</v>
      </c>
      <c r="B43" s="22">
        <v>505303</v>
      </c>
      <c r="C43" s="22">
        <v>505303</v>
      </c>
      <c r="D43" s="22">
        <v>0</v>
      </c>
      <c r="E43" s="22">
        <v>0</v>
      </c>
      <c r="F43" s="23">
        <f t="shared" si="0"/>
        <v>0</v>
      </c>
    </row>
    <row r="44" spans="1:6" ht="18" customHeight="1">
      <c r="A44" s="75" t="s">
        <v>36</v>
      </c>
      <c r="B44" s="22">
        <v>8176728</v>
      </c>
      <c r="C44" s="22">
        <v>0</v>
      </c>
      <c r="D44" s="22">
        <v>0</v>
      </c>
      <c r="E44" s="22">
        <v>0</v>
      </c>
      <c r="F44" s="23">
        <f t="shared" si="0"/>
        <v>8176728</v>
      </c>
    </row>
    <row r="45" spans="1:6" ht="18" customHeight="1">
      <c r="A45" s="75" t="s">
        <v>55</v>
      </c>
      <c r="B45" s="22">
        <v>0</v>
      </c>
      <c r="C45" s="22">
        <v>0</v>
      </c>
      <c r="D45" s="22">
        <v>0</v>
      </c>
      <c r="E45" s="22">
        <v>0</v>
      </c>
      <c r="F45" s="23">
        <f t="shared" si="0"/>
        <v>0</v>
      </c>
    </row>
    <row r="46" spans="1:6" ht="18" customHeight="1">
      <c r="A46" s="81" t="s">
        <v>37</v>
      </c>
      <c r="B46" s="22">
        <v>151591</v>
      </c>
      <c r="C46" s="22">
        <v>151591</v>
      </c>
      <c r="D46" s="22">
        <v>0</v>
      </c>
      <c r="E46" s="22">
        <v>0</v>
      </c>
      <c r="F46" s="23">
        <f t="shared" si="0"/>
        <v>0</v>
      </c>
    </row>
    <row r="47" spans="1:6" ht="18" customHeight="1">
      <c r="A47" s="75" t="s">
        <v>56</v>
      </c>
      <c r="B47" s="22">
        <v>0</v>
      </c>
      <c r="C47" s="22">
        <v>0</v>
      </c>
      <c r="D47" s="22">
        <v>0</v>
      </c>
      <c r="E47" s="22">
        <v>0</v>
      </c>
      <c r="F47" s="23">
        <f t="shared" si="0"/>
        <v>0</v>
      </c>
    </row>
    <row r="48" spans="1:6" ht="18" customHeight="1">
      <c r="A48" s="75" t="s">
        <v>57</v>
      </c>
      <c r="B48" s="22">
        <v>0</v>
      </c>
      <c r="C48" s="22">
        <v>0</v>
      </c>
      <c r="D48" s="22">
        <v>0</v>
      </c>
      <c r="E48" s="22">
        <v>0</v>
      </c>
      <c r="F48" s="23">
        <f t="shared" si="0"/>
        <v>0</v>
      </c>
    </row>
    <row r="49" spans="1:6" ht="18" customHeight="1">
      <c r="A49" s="75" t="s">
        <v>38</v>
      </c>
      <c r="B49" s="22">
        <v>4341016</v>
      </c>
      <c r="C49" s="22">
        <v>4341016</v>
      </c>
      <c r="D49" s="22">
        <v>0</v>
      </c>
      <c r="E49" s="22">
        <v>0</v>
      </c>
      <c r="F49" s="23">
        <f t="shared" si="0"/>
        <v>0</v>
      </c>
    </row>
    <row r="50" spans="1:6" ht="18" customHeight="1">
      <c r="A50" s="75" t="s">
        <v>39</v>
      </c>
      <c r="B50" s="22">
        <v>2255491</v>
      </c>
      <c r="C50" s="22">
        <v>1824641</v>
      </c>
      <c r="D50" s="22">
        <v>430850</v>
      </c>
      <c r="E50" s="22">
        <v>0</v>
      </c>
      <c r="F50" s="23">
        <f t="shared" si="0"/>
        <v>0</v>
      </c>
    </row>
    <row r="51" spans="1:6" ht="18" customHeight="1">
      <c r="A51" s="75" t="s">
        <v>40</v>
      </c>
      <c r="B51" s="22">
        <v>2223335</v>
      </c>
      <c r="C51" s="22">
        <v>2223335</v>
      </c>
      <c r="D51" s="22">
        <v>0</v>
      </c>
      <c r="E51" s="22">
        <v>0</v>
      </c>
      <c r="F51" s="23">
        <f t="shared" si="0"/>
        <v>0</v>
      </c>
    </row>
    <row r="52" spans="1:6" ht="18" customHeight="1">
      <c r="A52" s="75" t="s">
        <v>41</v>
      </c>
      <c r="B52" s="22">
        <v>36749</v>
      </c>
      <c r="C52" s="22">
        <v>0</v>
      </c>
      <c r="D52" s="22">
        <v>0</v>
      </c>
      <c r="E52" s="22">
        <v>0</v>
      </c>
      <c r="F52" s="23">
        <f t="shared" si="0"/>
        <v>36749</v>
      </c>
    </row>
    <row r="53" spans="1:6" ht="18" customHeight="1">
      <c r="A53" s="75" t="s">
        <v>42</v>
      </c>
      <c r="B53" s="22">
        <v>59718</v>
      </c>
      <c r="C53" s="22">
        <v>0</v>
      </c>
      <c r="D53" s="22">
        <v>0</v>
      </c>
      <c r="E53" s="22">
        <v>0</v>
      </c>
      <c r="F53" s="23">
        <f t="shared" si="0"/>
        <v>59718</v>
      </c>
    </row>
    <row r="54" spans="1:6" ht="18" customHeight="1">
      <c r="A54" s="75" t="s">
        <v>43</v>
      </c>
      <c r="B54" s="22">
        <v>2094712</v>
      </c>
      <c r="C54" s="22">
        <v>0</v>
      </c>
      <c r="D54" s="22">
        <v>0</v>
      </c>
      <c r="E54" s="22">
        <v>0</v>
      </c>
      <c r="F54" s="23">
        <f t="shared" si="0"/>
        <v>2094712</v>
      </c>
    </row>
    <row r="55" spans="1:6" ht="18" customHeight="1">
      <c r="A55" s="75" t="s">
        <v>58</v>
      </c>
      <c r="B55" s="22">
        <v>0</v>
      </c>
      <c r="C55" s="22">
        <v>0</v>
      </c>
      <c r="D55" s="22">
        <v>0</v>
      </c>
      <c r="E55" s="22">
        <v>0</v>
      </c>
      <c r="F55" s="23">
        <f t="shared" si="0"/>
        <v>0</v>
      </c>
    </row>
    <row r="56" spans="1:6" ht="18" customHeight="1">
      <c r="A56" s="75" t="s">
        <v>44</v>
      </c>
      <c r="B56" s="22">
        <v>9766137</v>
      </c>
      <c r="C56" s="22">
        <v>1627690</v>
      </c>
      <c r="D56" s="22">
        <v>565000</v>
      </c>
      <c r="E56" s="22">
        <v>7573447</v>
      </c>
      <c r="F56" s="23">
        <f t="shared" si="0"/>
        <v>0</v>
      </c>
    </row>
    <row r="57" spans="1:6" ht="18" customHeight="1">
      <c r="A57" s="75" t="s">
        <v>45</v>
      </c>
      <c r="B57" s="22">
        <v>38833333</v>
      </c>
      <c r="C57" s="22">
        <v>39213037</v>
      </c>
      <c r="D57" s="22">
        <v>-379704</v>
      </c>
      <c r="E57" s="22">
        <v>0</v>
      </c>
      <c r="F57" s="23">
        <f t="shared" si="0"/>
        <v>0</v>
      </c>
    </row>
    <row r="58" spans="1:6" ht="18" customHeight="1" thickBot="1">
      <c r="A58" s="82" t="s">
        <v>46</v>
      </c>
      <c r="B58" s="14">
        <v>252652</v>
      </c>
      <c r="C58" s="14">
        <v>25897</v>
      </c>
      <c r="D58" s="14">
        <v>0</v>
      </c>
      <c r="E58" s="14">
        <v>0</v>
      </c>
      <c r="F58" s="131">
        <f t="shared" si="0"/>
        <v>226755</v>
      </c>
    </row>
    <row r="59" spans="1:6" ht="19.5" customHeight="1" thickBot="1">
      <c r="A59" s="83" t="s">
        <v>2</v>
      </c>
      <c r="B59" s="16">
        <f>SUM(B8:B58)</f>
        <v>157897921</v>
      </c>
      <c r="C59" s="17">
        <f>SUM(C8:C58)</f>
        <v>116867240</v>
      </c>
      <c r="D59" s="17">
        <f>SUM(D8:D58)</f>
        <v>10719736</v>
      </c>
      <c r="E59" s="18">
        <f>SUM(E8:E58)</f>
        <v>18632187</v>
      </c>
      <c r="F59" s="19">
        <f>SUM(F8:F58)</f>
        <v>11678758</v>
      </c>
    </row>
    <row r="60" spans="1:6" ht="15.75">
      <c r="A60" s="20"/>
      <c r="B60" s="12"/>
      <c r="C60" s="12"/>
      <c r="D60" s="12"/>
      <c r="E60" s="12"/>
      <c r="F60" s="12"/>
    </row>
    <row r="61" spans="1:6" ht="15.75">
      <c r="A61" s="20"/>
      <c r="B61" s="12"/>
      <c r="C61" s="12"/>
      <c r="D61" s="12"/>
      <c r="E61" s="12"/>
      <c r="F61" s="12"/>
    </row>
    <row r="62" spans="1:6" ht="15.75">
      <c r="A62" s="12"/>
      <c r="B62" s="12"/>
      <c r="C62" s="12"/>
      <c r="D62" s="12"/>
      <c r="E62" s="12"/>
      <c r="F62" s="12"/>
    </row>
    <row r="63" spans="1:6" ht="15.75">
      <c r="A63" s="12"/>
      <c r="B63" s="12"/>
      <c r="C63" s="12"/>
      <c r="D63" s="12"/>
      <c r="E63" s="12"/>
      <c r="F63" s="12"/>
    </row>
    <row r="64" spans="1:6" ht="15.75">
      <c r="A64" s="12"/>
      <c r="B64" s="12"/>
      <c r="C64" s="12"/>
      <c r="D64" s="12"/>
      <c r="E64" s="12"/>
      <c r="F64" s="1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A1:F66"/>
  <sheetViews>
    <sheetView zoomScale="75" zoomScaleNormal="75" zoomScaleSheetLayoutView="75" workbookViewId="0" topLeftCell="A84">
      <selection activeCell="B15" sqref="B15"/>
    </sheetView>
  </sheetViews>
  <sheetFormatPr defaultColWidth="8.796875" defaultRowHeight="15"/>
  <cols>
    <col min="1" max="1" width="24.796875" style="7" customWidth="1"/>
    <col min="2" max="6" width="15.796875" style="7" customWidth="1"/>
    <col min="7" max="16384" width="8.8984375" style="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86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</v>
      </c>
      <c r="B4" s="6"/>
      <c r="C4" s="6"/>
      <c r="D4" s="6"/>
      <c r="E4" s="6"/>
      <c r="F4" s="6"/>
    </row>
    <row r="5" spans="1:6" s="2" customFormat="1" ht="19.5" customHeight="1">
      <c r="A5" s="119" t="s">
        <v>71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ht="32.25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20" t="s">
        <v>10</v>
      </c>
      <c r="B8" s="88">
        <v>2719451</v>
      </c>
      <c r="C8" s="89">
        <v>2719451</v>
      </c>
      <c r="D8" s="90">
        <v>0</v>
      </c>
      <c r="E8" s="90">
        <v>0</v>
      </c>
      <c r="F8" s="91">
        <f>B8-C8-D8-E8</f>
        <v>0</v>
      </c>
    </row>
    <row r="9" spans="1:6" ht="18" customHeight="1">
      <c r="A9" s="115" t="s">
        <v>11</v>
      </c>
      <c r="B9" s="92">
        <v>1589409</v>
      </c>
      <c r="C9" s="78">
        <v>1589409</v>
      </c>
      <c r="D9" s="79">
        <v>0</v>
      </c>
      <c r="E9" s="79">
        <v>0</v>
      </c>
      <c r="F9" s="80">
        <f aca="true" t="shared" si="0" ref="F9:F58">B9-C9-D9-E9</f>
        <v>0</v>
      </c>
    </row>
    <row r="10" spans="1:6" ht="18" customHeight="1">
      <c r="A10" s="116" t="s">
        <v>12</v>
      </c>
      <c r="B10" s="92">
        <v>215902</v>
      </c>
      <c r="C10" s="78">
        <v>0</v>
      </c>
      <c r="D10" s="79">
        <v>0</v>
      </c>
      <c r="E10" s="79">
        <v>0</v>
      </c>
      <c r="F10" s="80">
        <f t="shared" si="0"/>
        <v>215902</v>
      </c>
    </row>
    <row r="11" spans="1:6" ht="18" customHeight="1">
      <c r="A11" s="115" t="s">
        <v>13</v>
      </c>
      <c r="B11" s="92">
        <v>537459</v>
      </c>
      <c r="C11" s="78">
        <v>0</v>
      </c>
      <c r="D11" s="79">
        <v>0</v>
      </c>
      <c r="E11" s="79">
        <v>0</v>
      </c>
      <c r="F11" s="80">
        <f t="shared" si="0"/>
        <v>537459</v>
      </c>
    </row>
    <row r="12" spans="1:6" ht="18" customHeight="1">
      <c r="A12" s="115" t="s">
        <v>14</v>
      </c>
      <c r="B12" s="92">
        <v>1851248</v>
      </c>
      <c r="C12" s="78">
        <v>1851248</v>
      </c>
      <c r="D12" s="79">
        <v>0</v>
      </c>
      <c r="E12" s="79">
        <v>0</v>
      </c>
      <c r="F12" s="80">
        <f t="shared" si="0"/>
        <v>0</v>
      </c>
    </row>
    <row r="13" spans="1:6" ht="18" customHeight="1">
      <c r="A13" s="115" t="s">
        <v>47</v>
      </c>
      <c r="B13" s="92">
        <v>0</v>
      </c>
      <c r="C13" s="78">
        <v>0</v>
      </c>
      <c r="D13" s="79">
        <v>0</v>
      </c>
      <c r="E13" s="79">
        <v>0</v>
      </c>
      <c r="F13" s="80">
        <f t="shared" si="0"/>
        <v>0</v>
      </c>
    </row>
    <row r="14" spans="1:6" ht="18" customHeight="1">
      <c r="A14" s="115" t="s">
        <v>48</v>
      </c>
      <c r="B14" s="92">
        <v>0</v>
      </c>
      <c r="C14" s="78">
        <v>0</v>
      </c>
      <c r="D14" s="79">
        <v>0</v>
      </c>
      <c r="E14" s="79">
        <v>0</v>
      </c>
      <c r="F14" s="80">
        <f t="shared" si="0"/>
        <v>0</v>
      </c>
    </row>
    <row r="15" spans="1:6" ht="18" customHeight="1">
      <c r="A15" s="115" t="s">
        <v>15</v>
      </c>
      <c r="B15" s="92">
        <v>5700741</v>
      </c>
      <c r="C15" s="78">
        <v>5152031</v>
      </c>
      <c r="D15" s="79">
        <v>548710</v>
      </c>
      <c r="E15" s="79">
        <v>0</v>
      </c>
      <c r="F15" s="80">
        <f t="shared" si="0"/>
        <v>0</v>
      </c>
    </row>
    <row r="16" spans="1:6" ht="18" customHeight="1">
      <c r="A16" s="115" t="s">
        <v>49</v>
      </c>
      <c r="B16" s="92">
        <v>0</v>
      </c>
      <c r="C16" s="78">
        <v>0</v>
      </c>
      <c r="D16" s="79">
        <v>0</v>
      </c>
      <c r="E16" s="79">
        <v>0</v>
      </c>
      <c r="F16" s="80">
        <f t="shared" si="0"/>
        <v>0</v>
      </c>
    </row>
    <row r="17" spans="1:6" ht="18" customHeight="1">
      <c r="A17" s="115" t="s">
        <v>16</v>
      </c>
      <c r="B17" s="92">
        <v>477741</v>
      </c>
      <c r="C17" s="78">
        <v>477741</v>
      </c>
      <c r="D17" s="79">
        <v>0</v>
      </c>
      <c r="E17" s="79">
        <v>0</v>
      </c>
      <c r="F17" s="80">
        <f t="shared" si="0"/>
        <v>0</v>
      </c>
    </row>
    <row r="18" spans="1:6" ht="18" customHeight="1">
      <c r="A18" s="115" t="s">
        <v>17</v>
      </c>
      <c r="B18" s="92">
        <v>1318383</v>
      </c>
      <c r="C18" s="78">
        <v>1318383</v>
      </c>
      <c r="D18" s="79">
        <v>0</v>
      </c>
      <c r="E18" s="79">
        <v>0</v>
      </c>
      <c r="F18" s="80">
        <f t="shared" si="0"/>
        <v>0</v>
      </c>
    </row>
    <row r="19" spans="1:6" ht="18" customHeight="1">
      <c r="A19" s="115" t="s">
        <v>62</v>
      </c>
      <c r="B19" s="92">
        <v>0</v>
      </c>
      <c r="C19" s="78">
        <v>0</v>
      </c>
      <c r="D19" s="79">
        <v>0</v>
      </c>
      <c r="E19" s="79">
        <v>0</v>
      </c>
      <c r="F19" s="80">
        <f t="shared" si="0"/>
        <v>0</v>
      </c>
    </row>
    <row r="20" spans="1:6" ht="18" customHeight="1">
      <c r="A20" s="115" t="s">
        <v>18</v>
      </c>
      <c r="B20" s="92">
        <v>1134636</v>
      </c>
      <c r="C20" s="78">
        <v>909206</v>
      </c>
      <c r="D20" s="79">
        <v>225430</v>
      </c>
      <c r="E20" s="79">
        <v>0</v>
      </c>
      <c r="F20" s="80">
        <f t="shared" si="0"/>
        <v>0</v>
      </c>
    </row>
    <row r="21" spans="1:6" ht="18" customHeight="1">
      <c r="A21" s="115" t="s">
        <v>19</v>
      </c>
      <c r="B21" s="92">
        <v>11773570</v>
      </c>
      <c r="C21" s="78">
        <v>0</v>
      </c>
      <c r="D21" s="79">
        <v>662250</v>
      </c>
      <c r="E21" s="79">
        <v>11111320</v>
      </c>
      <c r="F21" s="80">
        <f t="shared" si="0"/>
        <v>0</v>
      </c>
    </row>
    <row r="22" spans="1:6" ht="18" customHeight="1">
      <c r="A22" s="115" t="s">
        <v>50</v>
      </c>
      <c r="B22" s="92">
        <v>0</v>
      </c>
      <c r="C22" s="78">
        <v>0</v>
      </c>
      <c r="D22" s="79">
        <v>0</v>
      </c>
      <c r="E22" s="79">
        <v>0</v>
      </c>
      <c r="F22" s="80">
        <f t="shared" si="0"/>
        <v>0</v>
      </c>
    </row>
    <row r="23" spans="1:6" ht="18" customHeight="1">
      <c r="A23" s="115" t="s">
        <v>20</v>
      </c>
      <c r="B23" s="92">
        <v>16615295</v>
      </c>
      <c r="C23" s="78">
        <v>14005333</v>
      </c>
      <c r="D23" s="79">
        <v>2609962</v>
      </c>
      <c r="E23" s="79">
        <v>0</v>
      </c>
      <c r="F23" s="80">
        <f t="shared" si="0"/>
        <v>0</v>
      </c>
    </row>
    <row r="24" spans="1:6" ht="18" customHeight="1">
      <c r="A24" s="115" t="s">
        <v>21</v>
      </c>
      <c r="B24" s="92">
        <v>698237</v>
      </c>
      <c r="C24" s="78">
        <v>698237</v>
      </c>
      <c r="D24" s="79">
        <v>0</v>
      </c>
      <c r="E24" s="79">
        <v>0</v>
      </c>
      <c r="F24" s="80">
        <f t="shared" si="0"/>
        <v>0</v>
      </c>
    </row>
    <row r="25" spans="1:6" ht="18" customHeight="1">
      <c r="A25" s="115" t="s">
        <v>22</v>
      </c>
      <c r="B25" s="92">
        <v>257245</v>
      </c>
      <c r="C25" s="78">
        <v>257245</v>
      </c>
      <c r="D25" s="79">
        <v>0</v>
      </c>
      <c r="E25" s="79">
        <v>0</v>
      </c>
      <c r="F25" s="80">
        <f t="shared" si="0"/>
        <v>0</v>
      </c>
    </row>
    <row r="26" spans="1:6" ht="18" customHeight="1">
      <c r="A26" s="115" t="s">
        <v>23</v>
      </c>
      <c r="B26" s="92">
        <v>55124</v>
      </c>
      <c r="C26" s="78">
        <v>55124</v>
      </c>
      <c r="D26" s="79">
        <v>0</v>
      </c>
      <c r="E26" s="79">
        <v>0</v>
      </c>
      <c r="F26" s="80">
        <f t="shared" si="0"/>
        <v>0</v>
      </c>
    </row>
    <row r="27" spans="1:6" ht="18" customHeight="1">
      <c r="A27" s="115" t="s">
        <v>24</v>
      </c>
      <c r="B27" s="92">
        <v>385868</v>
      </c>
      <c r="C27" s="78">
        <v>385868</v>
      </c>
      <c r="D27" s="79">
        <v>0</v>
      </c>
      <c r="E27" s="79">
        <v>0</v>
      </c>
      <c r="F27" s="80">
        <f t="shared" si="0"/>
        <v>0</v>
      </c>
    </row>
    <row r="28" spans="1:6" ht="18" customHeight="1">
      <c r="A28" s="115" t="s">
        <v>25</v>
      </c>
      <c r="B28" s="92">
        <v>491522</v>
      </c>
      <c r="C28" s="78">
        <v>491522</v>
      </c>
      <c r="D28" s="79">
        <v>0</v>
      </c>
      <c r="E28" s="79">
        <v>0</v>
      </c>
      <c r="F28" s="80">
        <f t="shared" si="0"/>
        <v>0</v>
      </c>
    </row>
    <row r="29" spans="1:6" ht="18" customHeight="1">
      <c r="A29" s="115" t="s">
        <v>26</v>
      </c>
      <c r="B29" s="92">
        <v>9550235</v>
      </c>
      <c r="C29" s="78">
        <v>9550235</v>
      </c>
      <c r="D29" s="79">
        <v>0</v>
      </c>
      <c r="E29" s="79">
        <v>0</v>
      </c>
      <c r="F29" s="80">
        <f t="shared" si="0"/>
        <v>0</v>
      </c>
    </row>
    <row r="30" spans="1:6" ht="18" customHeight="1">
      <c r="A30" s="115" t="s">
        <v>68</v>
      </c>
      <c r="B30" s="92">
        <v>28361303</v>
      </c>
      <c r="C30" s="76">
        <v>19955544</v>
      </c>
      <c r="D30" s="76">
        <v>2733500</v>
      </c>
      <c r="E30" s="76">
        <v>0</v>
      </c>
      <c r="F30" s="80">
        <f t="shared" si="0"/>
        <v>5672259</v>
      </c>
    </row>
    <row r="31" spans="1:6" ht="18" customHeight="1">
      <c r="A31" s="115" t="s">
        <v>51</v>
      </c>
      <c r="B31" s="92">
        <v>0</v>
      </c>
      <c r="C31" s="78">
        <v>0</v>
      </c>
      <c r="D31" s="79">
        <v>0</v>
      </c>
      <c r="E31" s="79">
        <v>0</v>
      </c>
      <c r="F31" s="80">
        <f t="shared" si="0"/>
        <v>0</v>
      </c>
    </row>
    <row r="32" spans="1:6" ht="18" customHeight="1">
      <c r="A32" s="115" t="s">
        <v>52</v>
      </c>
      <c r="B32" s="92">
        <v>0</v>
      </c>
      <c r="C32" s="78">
        <v>0</v>
      </c>
      <c r="D32" s="79">
        <v>0</v>
      </c>
      <c r="E32" s="79">
        <v>0</v>
      </c>
      <c r="F32" s="80">
        <f t="shared" si="0"/>
        <v>0</v>
      </c>
    </row>
    <row r="33" spans="1:6" ht="18" customHeight="1">
      <c r="A33" s="115" t="s">
        <v>27</v>
      </c>
      <c r="B33" s="92">
        <v>18375</v>
      </c>
      <c r="C33" s="78">
        <v>18375</v>
      </c>
      <c r="D33" s="79">
        <v>0</v>
      </c>
      <c r="E33" s="79">
        <v>0</v>
      </c>
      <c r="F33" s="80">
        <f t="shared" si="0"/>
        <v>0</v>
      </c>
    </row>
    <row r="34" spans="1:6" ht="18" customHeight="1">
      <c r="A34" s="115" t="s">
        <v>28</v>
      </c>
      <c r="B34" s="92">
        <v>103125</v>
      </c>
      <c r="C34" s="93">
        <v>14975</v>
      </c>
      <c r="D34" s="79">
        <v>0</v>
      </c>
      <c r="E34" s="79">
        <v>0</v>
      </c>
      <c r="F34" s="80">
        <f t="shared" si="0"/>
        <v>88150</v>
      </c>
    </row>
    <row r="35" spans="1:6" ht="18" customHeight="1">
      <c r="A35" s="115" t="s">
        <v>29</v>
      </c>
      <c r="B35" s="92">
        <v>128623</v>
      </c>
      <c r="C35" s="93">
        <v>128623</v>
      </c>
      <c r="D35" s="79">
        <v>0</v>
      </c>
      <c r="E35" s="79">
        <v>0</v>
      </c>
      <c r="F35" s="80">
        <f t="shared" si="0"/>
        <v>0</v>
      </c>
    </row>
    <row r="36" spans="1:6" ht="18" customHeight="1">
      <c r="A36" s="115" t="s">
        <v>53</v>
      </c>
      <c r="B36" s="92">
        <v>0</v>
      </c>
      <c r="C36" s="93">
        <v>0</v>
      </c>
      <c r="D36" s="79">
        <v>0</v>
      </c>
      <c r="E36" s="79">
        <v>0</v>
      </c>
      <c r="F36" s="80">
        <f t="shared" si="0"/>
        <v>0</v>
      </c>
    </row>
    <row r="37" spans="1:6" ht="18" customHeight="1">
      <c r="A37" s="115" t="s">
        <v>30</v>
      </c>
      <c r="B37" s="92">
        <v>18375</v>
      </c>
      <c r="C37" s="93">
        <v>18375</v>
      </c>
      <c r="D37" s="79">
        <v>0</v>
      </c>
      <c r="E37" s="79">
        <v>0</v>
      </c>
      <c r="F37" s="80">
        <f t="shared" si="0"/>
        <v>0</v>
      </c>
    </row>
    <row r="38" spans="1:6" ht="18" customHeight="1">
      <c r="A38" s="115" t="s">
        <v>31</v>
      </c>
      <c r="B38" s="92">
        <v>2916979</v>
      </c>
      <c r="C38" s="94">
        <v>2916979</v>
      </c>
      <c r="D38" s="79">
        <v>0</v>
      </c>
      <c r="E38" s="95">
        <v>0</v>
      </c>
      <c r="F38" s="80">
        <f t="shared" si="0"/>
        <v>0</v>
      </c>
    </row>
    <row r="39" spans="1:6" ht="18" customHeight="1">
      <c r="A39" s="115" t="s">
        <v>32</v>
      </c>
      <c r="B39" s="92">
        <v>440992</v>
      </c>
      <c r="C39" s="93">
        <v>440992</v>
      </c>
      <c r="D39" s="79">
        <v>0</v>
      </c>
      <c r="E39" s="79">
        <v>0</v>
      </c>
      <c r="F39" s="80">
        <f t="shared" si="0"/>
        <v>0</v>
      </c>
    </row>
    <row r="40" spans="1:6" ht="18" customHeight="1">
      <c r="A40" s="115" t="s">
        <v>33</v>
      </c>
      <c r="B40" s="92">
        <v>1028982</v>
      </c>
      <c r="C40" s="93">
        <v>1028982</v>
      </c>
      <c r="D40" s="79">
        <v>0</v>
      </c>
      <c r="E40" s="79">
        <v>0</v>
      </c>
      <c r="F40" s="80">
        <f t="shared" si="0"/>
        <v>0</v>
      </c>
    </row>
    <row r="41" spans="1:6" ht="18" customHeight="1">
      <c r="A41" s="115" t="s">
        <v>54</v>
      </c>
      <c r="B41" s="92">
        <v>0</v>
      </c>
      <c r="C41" s="93">
        <v>0</v>
      </c>
      <c r="D41" s="79">
        <v>0</v>
      </c>
      <c r="E41" s="79">
        <v>0</v>
      </c>
      <c r="F41" s="80">
        <f t="shared" si="0"/>
        <v>0</v>
      </c>
    </row>
    <row r="42" spans="1:6" ht="18" customHeight="1">
      <c r="A42" s="115" t="s">
        <v>34</v>
      </c>
      <c r="B42" s="92">
        <v>620145</v>
      </c>
      <c r="C42" s="93">
        <v>620145</v>
      </c>
      <c r="D42" s="79">
        <v>0</v>
      </c>
      <c r="E42" s="79">
        <v>0</v>
      </c>
      <c r="F42" s="80">
        <f t="shared" si="0"/>
        <v>0</v>
      </c>
    </row>
    <row r="43" spans="1:6" ht="18" customHeight="1">
      <c r="A43" s="115" t="s">
        <v>35</v>
      </c>
      <c r="B43" s="92">
        <v>505303</v>
      </c>
      <c r="C43" s="93">
        <v>505303</v>
      </c>
      <c r="D43" s="79">
        <v>0</v>
      </c>
      <c r="E43" s="79">
        <v>0</v>
      </c>
      <c r="F43" s="80">
        <f t="shared" si="0"/>
        <v>0</v>
      </c>
    </row>
    <row r="44" spans="1:6" ht="18" customHeight="1">
      <c r="A44" s="115" t="s">
        <v>36</v>
      </c>
      <c r="B44" s="92">
        <v>8176728</v>
      </c>
      <c r="C44" s="93">
        <v>0</v>
      </c>
      <c r="D44" s="79">
        <v>0</v>
      </c>
      <c r="E44" s="79">
        <v>0</v>
      </c>
      <c r="F44" s="80">
        <f t="shared" si="0"/>
        <v>8176728</v>
      </c>
    </row>
    <row r="45" spans="1:6" ht="18" customHeight="1">
      <c r="A45" s="115" t="s">
        <v>55</v>
      </c>
      <c r="B45" s="92">
        <v>0</v>
      </c>
      <c r="C45" s="93">
        <v>0</v>
      </c>
      <c r="D45" s="79">
        <v>0</v>
      </c>
      <c r="E45" s="79">
        <v>0</v>
      </c>
      <c r="F45" s="80">
        <f t="shared" si="0"/>
        <v>0</v>
      </c>
    </row>
    <row r="46" spans="1:6" ht="18" customHeight="1">
      <c r="A46" s="115" t="s">
        <v>37</v>
      </c>
      <c r="B46" s="92">
        <v>151591</v>
      </c>
      <c r="C46" s="93">
        <v>151591</v>
      </c>
      <c r="D46" s="79">
        <v>0</v>
      </c>
      <c r="E46" s="79">
        <v>0</v>
      </c>
      <c r="F46" s="80">
        <f t="shared" si="0"/>
        <v>0</v>
      </c>
    </row>
    <row r="47" spans="1:6" ht="18" customHeight="1">
      <c r="A47" s="115" t="s">
        <v>56</v>
      </c>
      <c r="B47" s="92">
        <v>0</v>
      </c>
      <c r="C47" s="93">
        <v>0</v>
      </c>
      <c r="D47" s="79">
        <v>0</v>
      </c>
      <c r="E47" s="79">
        <v>0</v>
      </c>
      <c r="F47" s="80">
        <f t="shared" si="0"/>
        <v>0</v>
      </c>
    </row>
    <row r="48" spans="1:6" ht="18" customHeight="1">
      <c r="A48" s="115" t="s">
        <v>57</v>
      </c>
      <c r="B48" s="92">
        <v>0</v>
      </c>
      <c r="C48" s="93">
        <v>0</v>
      </c>
      <c r="D48" s="79">
        <v>0</v>
      </c>
      <c r="E48" s="79">
        <v>0</v>
      </c>
      <c r="F48" s="80">
        <f t="shared" si="0"/>
        <v>0</v>
      </c>
    </row>
    <row r="49" spans="1:6" ht="18" customHeight="1">
      <c r="A49" s="115" t="s">
        <v>38</v>
      </c>
      <c r="B49" s="92">
        <v>4341016</v>
      </c>
      <c r="C49" s="93">
        <v>4341016</v>
      </c>
      <c r="D49" s="79">
        <v>0</v>
      </c>
      <c r="E49" s="79">
        <v>0</v>
      </c>
      <c r="F49" s="80">
        <f t="shared" si="0"/>
        <v>0</v>
      </c>
    </row>
    <row r="50" spans="1:6" ht="18" customHeight="1">
      <c r="A50" s="115" t="s">
        <v>39</v>
      </c>
      <c r="B50" s="92">
        <v>2255491</v>
      </c>
      <c r="C50" s="93">
        <v>2255491</v>
      </c>
      <c r="D50" s="79">
        <v>0</v>
      </c>
      <c r="E50" s="79">
        <v>0</v>
      </c>
      <c r="F50" s="80">
        <f t="shared" si="0"/>
        <v>0</v>
      </c>
    </row>
    <row r="51" spans="1:6" ht="18" customHeight="1">
      <c r="A51" s="115" t="s">
        <v>40</v>
      </c>
      <c r="B51" s="92">
        <v>2223335</v>
      </c>
      <c r="C51" s="93">
        <v>2223335</v>
      </c>
      <c r="D51" s="79">
        <v>0</v>
      </c>
      <c r="E51" s="79">
        <v>0</v>
      </c>
      <c r="F51" s="80">
        <f t="shared" si="0"/>
        <v>0</v>
      </c>
    </row>
    <row r="52" spans="1:6" ht="18" customHeight="1">
      <c r="A52" s="115" t="s">
        <v>41</v>
      </c>
      <c r="B52" s="92">
        <v>28997</v>
      </c>
      <c r="C52" s="93">
        <v>5333</v>
      </c>
      <c r="D52" s="79">
        <v>0</v>
      </c>
      <c r="E52" s="79">
        <v>0</v>
      </c>
      <c r="F52" s="80">
        <f t="shared" si="0"/>
        <v>23664</v>
      </c>
    </row>
    <row r="53" spans="1:6" ht="18" customHeight="1">
      <c r="A53" s="115" t="s">
        <v>42</v>
      </c>
      <c r="B53" s="92">
        <v>59718</v>
      </c>
      <c r="C53" s="93">
        <v>0</v>
      </c>
      <c r="D53" s="79">
        <v>0</v>
      </c>
      <c r="E53" s="79">
        <v>0</v>
      </c>
      <c r="F53" s="80">
        <f t="shared" si="0"/>
        <v>59718</v>
      </c>
    </row>
    <row r="54" spans="1:6" ht="18" customHeight="1">
      <c r="A54" s="115" t="s">
        <v>43</v>
      </c>
      <c r="B54" s="92">
        <v>2094712</v>
      </c>
      <c r="C54" s="93">
        <v>0</v>
      </c>
      <c r="D54" s="79">
        <v>0</v>
      </c>
      <c r="E54" s="79">
        <v>0</v>
      </c>
      <c r="F54" s="80">
        <f t="shared" si="0"/>
        <v>2094712</v>
      </c>
    </row>
    <row r="55" spans="1:6" ht="18" customHeight="1">
      <c r="A55" s="115" t="s">
        <v>58</v>
      </c>
      <c r="B55" s="92">
        <v>0</v>
      </c>
      <c r="C55" s="93">
        <v>0</v>
      </c>
      <c r="D55" s="79">
        <v>0</v>
      </c>
      <c r="E55" s="79">
        <v>0</v>
      </c>
      <c r="F55" s="80">
        <f t="shared" si="0"/>
        <v>0</v>
      </c>
    </row>
    <row r="56" spans="1:6" ht="18" customHeight="1">
      <c r="A56" s="115" t="s">
        <v>44</v>
      </c>
      <c r="B56" s="92">
        <v>9766137</v>
      </c>
      <c r="C56" s="93">
        <v>4883070</v>
      </c>
      <c r="D56" s="79">
        <v>0</v>
      </c>
      <c r="E56" s="79">
        <v>4883067</v>
      </c>
      <c r="F56" s="80">
        <f t="shared" si="0"/>
        <v>0</v>
      </c>
    </row>
    <row r="57" spans="1:6" ht="18" customHeight="1">
      <c r="A57" s="115" t="s">
        <v>45</v>
      </c>
      <c r="B57" s="92">
        <v>38833333</v>
      </c>
      <c r="C57" s="93">
        <v>36264333</v>
      </c>
      <c r="D57" s="94">
        <v>569000</v>
      </c>
      <c r="E57" s="94">
        <v>2000000</v>
      </c>
      <c r="F57" s="80">
        <f t="shared" si="0"/>
        <v>0</v>
      </c>
    </row>
    <row r="58" spans="1:6" ht="18" customHeight="1" thickBot="1">
      <c r="A58" s="117" t="s">
        <v>46</v>
      </c>
      <c r="B58" s="96">
        <v>79603</v>
      </c>
      <c r="C58" s="97">
        <v>79603</v>
      </c>
      <c r="D58" s="98">
        <v>0</v>
      </c>
      <c r="E58" s="98">
        <v>0</v>
      </c>
      <c r="F58" s="132">
        <f t="shared" si="0"/>
        <v>0</v>
      </c>
    </row>
    <row r="59" spans="1:6" ht="19.5" customHeight="1" thickBot="1">
      <c r="A59" s="121" t="s">
        <v>2</v>
      </c>
      <c r="B59" s="99">
        <f>SUM(B8:B58)</f>
        <v>157524929</v>
      </c>
      <c r="C59" s="99">
        <f>SUM(C8:C58)</f>
        <v>115313098</v>
      </c>
      <c r="D59" s="99">
        <f>SUM(D8:D58)</f>
        <v>7348852</v>
      </c>
      <c r="E59" s="99">
        <f>SUM(E8:E58)</f>
        <v>17994387</v>
      </c>
      <c r="F59" s="19">
        <f>SUM(F8:F58)</f>
        <v>16868592</v>
      </c>
    </row>
    <row r="60" spans="1:6" ht="18" customHeight="1">
      <c r="A60" s="122"/>
      <c r="B60" s="100"/>
      <c r="C60" s="100"/>
      <c r="D60" s="100"/>
      <c r="E60" s="100"/>
      <c r="F60" s="46"/>
    </row>
    <row r="61" spans="1:6" ht="18" customHeight="1">
      <c r="A61" s="123" t="s">
        <v>69</v>
      </c>
      <c r="B61" s="2"/>
      <c r="C61" s="2"/>
      <c r="D61" s="2"/>
      <c r="E61" s="2"/>
      <c r="F61" s="2"/>
    </row>
    <row r="62" spans="1:6" ht="15.75">
      <c r="A62" s="2" t="s">
        <v>0</v>
      </c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1"/>
  <dimension ref="A1:F62"/>
  <sheetViews>
    <sheetView zoomScale="75" zoomScaleNormal="75" zoomScaleSheetLayoutView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2" customWidth="1"/>
  </cols>
  <sheetData>
    <row r="1" spans="1:6" ht="15.75" customHeight="1">
      <c r="A1" s="42"/>
      <c r="B1" s="47"/>
      <c r="F1" s="4" t="str">
        <f>status!$C$1</f>
        <v>UNEP/OzL.Pro/ExCom/57/L.1</v>
      </c>
    </row>
    <row r="2" spans="1:6" ht="15.75" customHeight="1">
      <c r="A2" s="42"/>
      <c r="B2" s="5"/>
      <c r="F2" s="4" t="s">
        <v>84</v>
      </c>
    </row>
    <row r="3" spans="2:6" ht="15.75" customHeight="1">
      <c r="B3" s="5"/>
      <c r="F3" s="4"/>
    </row>
    <row r="4" spans="1:6" ht="19.5" customHeight="1">
      <c r="A4" s="6" t="s">
        <v>1</v>
      </c>
      <c r="B4" s="6"/>
      <c r="C4" s="6"/>
      <c r="D4" s="6"/>
      <c r="E4" s="6"/>
      <c r="F4" s="6"/>
    </row>
    <row r="5" spans="1:6" ht="19.5" customHeight="1">
      <c r="A5" s="119" t="s">
        <v>72</v>
      </c>
      <c r="B5" s="6"/>
      <c r="C5" s="8"/>
      <c r="D5" s="8"/>
      <c r="E5" s="6"/>
      <c r="F5" s="6"/>
    </row>
    <row r="6" spans="1:6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14" t="s">
        <v>10</v>
      </c>
      <c r="B8" s="101">
        <v>2719451</v>
      </c>
      <c r="C8" s="101">
        <v>2719451</v>
      </c>
      <c r="D8" s="101">
        <v>0</v>
      </c>
      <c r="E8" s="101">
        <v>0</v>
      </c>
      <c r="F8" s="133">
        <f>B8-C8-D8-E8</f>
        <v>0</v>
      </c>
    </row>
    <row r="9" spans="1:6" ht="15.75" customHeight="1">
      <c r="A9" s="115" t="s">
        <v>65</v>
      </c>
      <c r="B9" s="102">
        <v>1589409</v>
      </c>
      <c r="C9" s="102">
        <v>1589409</v>
      </c>
      <c r="D9" s="102">
        <v>0</v>
      </c>
      <c r="E9" s="102">
        <v>0</v>
      </c>
      <c r="F9" s="103">
        <f aca="true" t="shared" si="0" ref="F9:F58">B9-C9-D9-E9</f>
        <v>0</v>
      </c>
    </row>
    <row r="10" spans="1:6" ht="15.75" customHeight="1">
      <c r="A10" s="116" t="s">
        <v>12</v>
      </c>
      <c r="B10" s="102">
        <v>215902</v>
      </c>
      <c r="C10" s="102">
        <v>0</v>
      </c>
      <c r="D10" s="102">
        <v>0</v>
      </c>
      <c r="E10" s="102">
        <v>0</v>
      </c>
      <c r="F10" s="103">
        <f t="shared" si="0"/>
        <v>215902</v>
      </c>
    </row>
    <row r="11" spans="1:6" ht="15.75" customHeight="1">
      <c r="A11" s="115" t="s">
        <v>13</v>
      </c>
      <c r="B11" s="102">
        <v>537459</v>
      </c>
      <c r="C11" s="102">
        <v>0</v>
      </c>
      <c r="D11" s="102">
        <v>0</v>
      </c>
      <c r="E11" s="102">
        <v>0</v>
      </c>
      <c r="F11" s="103">
        <f t="shared" si="0"/>
        <v>537459</v>
      </c>
    </row>
    <row r="12" spans="1:6" ht="15.75" customHeight="1">
      <c r="A12" s="115" t="s">
        <v>14</v>
      </c>
      <c r="B12" s="102">
        <v>1851248</v>
      </c>
      <c r="C12" s="102">
        <v>1851248</v>
      </c>
      <c r="D12" s="102">
        <v>0</v>
      </c>
      <c r="E12" s="102">
        <v>0</v>
      </c>
      <c r="F12" s="103">
        <f t="shared" si="0"/>
        <v>0</v>
      </c>
    </row>
    <row r="13" spans="1:6" ht="15.75" customHeight="1">
      <c r="A13" s="115" t="s">
        <v>47</v>
      </c>
      <c r="B13" s="102">
        <v>0</v>
      </c>
      <c r="C13" s="102">
        <v>0</v>
      </c>
      <c r="D13" s="102">
        <v>0</v>
      </c>
      <c r="E13" s="102">
        <v>0</v>
      </c>
      <c r="F13" s="103">
        <f t="shared" si="0"/>
        <v>0</v>
      </c>
    </row>
    <row r="14" spans="1:6" ht="15.75" customHeight="1">
      <c r="A14" s="115" t="s">
        <v>48</v>
      </c>
      <c r="B14" s="102">
        <v>68000</v>
      </c>
      <c r="C14" s="102">
        <v>68000</v>
      </c>
      <c r="D14" s="102">
        <v>0</v>
      </c>
      <c r="E14" s="102">
        <v>0</v>
      </c>
      <c r="F14" s="103">
        <f t="shared" si="0"/>
        <v>0</v>
      </c>
    </row>
    <row r="15" spans="1:6" ht="15.75" customHeight="1">
      <c r="A15" s="115" t="s">
        <v>15</v>
      </c>
      <c r="B15" s="104">
        <v>5700741</v>
      </c>
      <c r="C15" s="104">
        <v>4840106</v>
      </c>
      <c r="D15" s="104">
        <v>860635</v>
      </c>
      <c r="E15" s="104">
        <v>0</v>
      </c>
      <c r="F15" s="103">
        <f t="shared" si="0"/>
        <v>0</v>
      </c>
    </row>
    <row r="16" spans="1:6" ht="15.75" customHeight="1">
      <c r="A16" s="115" t="s">
        <v>49</v>
      </c>
      <c r="B16" s="102">
        <v>0</v>
      </c>
      <c r="C16" s="102">
        <v>0</v>
      </c>
      <c r="D16" s="102">
        <v>0</v>
      </c>
      <c r="E16" s="102">
        <v>0</v>
      </c>
      <c r="F16" s="103">
        <f t="shared" si="0"/>
        <v>0</v>
      </c>
    </row>
    <row r="17" spans="1:6" ht="15.75" customHeight="1">
      <c r="A17" s="115" t="s">
        <v>16</v>
      </c>
      <c r="B17" s="102">
        <v>376958</v>
      </c>
      <c r="C17" s="102">
        <v>376958</v>
      </c>
      <c r="D17" s="102">
        <v>0</v>
      </c>
      <c r="E17" s="102">
        <v>0</v>
      </c>
      <c r="F17" s="103">
        <f t="shared" si="0"/>
        <v>0</v>
      </c>
    </row>
    <row r="18" spans="1:6" ht="15.75" customHeight="1">
      <c r="A18" s="115" t="s">
        <v>17</v>
      </c>
      <c r="B18" s="102">
        <v>1318383</v>
      </c>
      <c r="C18" s="102">
        <v>1318383</v>
      </c>
      <c r="D18" s="102">
        <v>0</v>
      </c>
      <c r="E18" s="102">
        <v>0</v>
      </c>
      <c r="F18" s="103">
        <f t="shared" si="0"/>
        <v>0</v>
      </c>
    </row>
    <row r="19" spans="1:6" ht="15.75" customHeight="1">
      <c r="A19" s="115" t="s">
        <v>62</v>
      </c>
      <c r="B19" s="102">
        <v>0</v>
      </c>
      <c r="C19" s="102">
        <v>0</v>
      </c>
      <c r="D19" s="102">
        <v>0</v>
      </c>
      <c r="E19" s="102">
        <v>0</v>
      </c>
      <c r="F19" s="103">
        <f t="shared" si="0"/>
        <v>0</v>
      </c>
    </row>
    <row r="20" spans="1:6" ht="15.75" customHeight="1">
      <c r="A20" s="115" t="s">
        <v>18</v>
      </c>
      <c r="B20" s="102">
        <v>1134636</v>
      </c>
      <c r="C20" s="102">
        <v>1134636</v>
      </c>
      <c r="D20" s="102">
        <v>0</v>
      </c>
      <c r="E20" s="102">
        <v>0</v>
      </c>
      <c r="F20" s="103">
        <f t="shared" si="0"/>
        <v>0</v>
      </c>
    </row>
    <row r="21" spans="1:6" ht="15.75" customHeight="1">
      <c r="A21" s="115" t="s">
        <v>19</v>
      </c>
      <c r="B21" s="102">
        <v>11773570</v>
      </c>
      <c r="C21" s="102">
        <v>2874846</v>
      </c>
      <c r="D21" s="102">
        <v>1736636</v>
      </c>
      <c r="E21" s="102">
        <v>617934</v>
      </c>
      <c r="F21" s="103">
        <f t="shared" si="0"/>
        <v>6544154</v>
      </c>
    </row>
    <row r="22" spans="1:6" ht="15.75" customHeight="1">
      <c r="A22" s="115" t="s">
        <v>50</v>
      </c>
      <c r="B22" s="102">
        <v>0</v>
      </c>
      <c r="C22" s="102">
        <v>0</v>
      </c>
      <c r="D22" s="102">
        <v>0</v>
      </c>
      <c r="E22" s="102">
        <v>0</v>
      </c>
      <c r="F22" s="103">
        <f t="shared" si="0"/>
        <v>0</v>
      </c>
    </row>
    <row r="23" spans="1:6" ht="15.75" customHeight="1">
      <c r="A23" s="115" t="s">
        <v>20</v>
      </c>
      <c r="B23" s="102">
        <v>16615295</v>
      </c>
      <c r="C23" s="102">
        <v>15622987</v>
      </c>
      <c r="D23" s="102">
        <v>992308</v>
      </c>
      <c r="E23" s="102">
        <v>0</v>
      </c>
      <c r="F23" s="103">
        <f t="shared" si="0"/>
        <v>0</v>
      </c>
    </row>
    <row r="24" spans="1:6" ht="15.75" customHeight="1">
      <c r="A24" s="115" t="s">
        <v>21</v>
      </c>
      <c r="B24" s="102">
        <v>698237</v>
      </c>
      <c r="C24" s="102">
        <v>698237</v>
      </c>
      <c r="D24" s="102">
        <v>0</v>
      </c>
      <c r="E24" s="102">
        <v>0</v>
      </c>
      <c r="F24" s="103">
        <f t="shared" si="0"/>
        <v>0</v>
      </c>
    </row>
    <row r="25" spans="1:6" ht="15.75" customHeight="1">
      <c r="A25" s="115" t="s">
        <v>22</v>
      </c>
      <c r="B25" s="102">
        <v>257245</v>
      </c>
      <c r="C25" s="102">
        <v>257245</v>
      </c>
      <c r="D25" s="102">
        <v>0</v>
      </c>
      <c r="E25" s="102">
        <v>0</v>
      </c>
      <c r="F25" s="103">
        <f t="shared" si="0"/>
        <v>0</v>
      </c>
    </row>
    <row r="26" spans="1:6" ht="15.75" customHeight="1">
      <c r="A26" s="115" t="s">
        <v>23</v>
      </c>
      <c r="B26" s="102">
        <v>55124</v>
      </c>
      <c r="C26" s="102">
        <v>55124</v>
      </c>
      <c r="D26" s="102">
        <v>0</v>
      </c>
      <c r="E26" s="102">
        <v>0</v>
      </c>
      <c r="F26" s="103">
        <f t="shared" si="0"/>
        <v>0</v>
      </c>
    </row>
    <row r="27" spans="1:6" ht="15.75" customHeight="1">
      <c r="A27" s="115" t="s">
        <v>24</v>
      </c>
      <c r="B27" s="102">
        <v>385868</v>
      </c>
      <c r="C27" s="102">
        <v>385868</v>
      </c>
      <c r="D27" s="102">
        <v>0</v>
      </c>
      <c r="E27" s="102">
        <v>0</v>
      </c>
      <c r="F27" s="103">
        <f t="shared" si="0"/>
        <v>0</v>
      </c>
    </row>
    <row r="28" spans="1:6" ht="15.75" customHeight="1">
      <c r="A28" s="115" t="s">
        <v>25</v>
      </c>
      <c r="B28" s="102">
        <v>491522</v>
      </c>
      <c r="C28" s="102">
        <v>491522</v>
      </c>
      <c r="D28" s="102">
        <v>0</v>
      </c>
      <c r="E28" s="102">
        <v>0</v>
      </c>
      <c r="F28" s="103">
        <f t="shared" si="0"/>
        <v>0</v>
      </c>
    </row>
    <row r="29" spans="1:6" ht="15.75" customHeight="1">
      <c r="A29" s="115" t="s">
        <v>26</v>
      </c>
      <c r="B29" s="102">
        <v>9550235</v>
      </c>
      <c r="C29" s="102">
        <v>9550235</v>
      </c>
      <c r="D29" s="102">
        <v>0</v>
      </c>
      <c r="E29" s="102">
        <v>0</v>
      </c>
      <c r="F29" s="103">
        <f t="shared" si="0"/>
        <v>0</v>
      </c>
    </row>
    <row r="30" spans="1:6" ht="15.75" customHeight="1">
      <c r="A30" s="115" t="s">
        <v>64</v>
      </c>
      <c r="B30" s="102">
        <v>28361303</v>
      </c>
      <c r="C30" s="102">
        <v>28361303</v>
      </c>
      <c r="D30" s="102">
        <v>0</v>
      </c>
      <c r="E30" s="102">
        <v>0</v>
      </c>
      <c r="F30" s="103">
        <f t="shared" si="0"/>
        <v>0</v>
      </c>
    </row>
    <row r="31" spans="1:6" ht="15.75" customHeight="1">
      <c r="A31" s="115" t="s">
        <v>51</v>
      </c>
      <c r="B31" s="102">
        <v>0</v>
      </c>
      <c r="C31" s="102">
        <v>0</v>
      </c>
      <c r="D31" s="102">
        <v>0</v>
      </c>
      <c r="E31" s="102">
        <v>0</v>
      </c>
      <c r="F31" s="103">
        <f t="shared" si="0"/>
        <v>0</v>
      </c>
    </row>
    <row r="32" spans="1:6" ht="15.75" customHeight="1">
      <c r="A32" s="115" t="s">
        <v>52</v>
      </c>
      <c r="B32" s="102">
        <v>0</v>
      </c>
      <c r="C32" s="102">
        <v>0</v>
      </c>
      <c r="D32" s="102">
        <v>0</v>
      </c>
      <c r="E32" s="102">
        <v>0</v>
      </c>
      <c r="F32" s="103">
        <f t="shared" si="0"/>
        <v>0</v>
      </c>
    </row>
    <row r="33" spans="1:6" ht="15.75" customHeight="1">
      <c r="A33" s="115" t="s">
        <v>27</v>
      </c>
      <c r="B33" s="102">
        <v>18375</v>
      </c>
      <c r="C33" s="102">
        <v>18375</v>
      </c>
      <c r="D33" s="102">
        <v>0</v>
      </c>
      <c r="E33" s="102">
        <v>0</v>
      </c>
      <c r="F33" s="103">
        <f t="shared" si="0"/>
        <v>0</v>
      </c>
    </row>
    <row r="34" spans="1:6" ht="15.75" customHeight="1">
      <c r="A34" s="115" t="s">
        <v>28</v>
      </c>
      <c r="B34" s="102">
        <v>0</v>
      </c>
      <c r="C34" s="102">
        <v>0</v>
      </c>
      <c r="D34" s="102">
        <v>0</v>
      </c>
      <c r="E34" s="102">
        <v>0</v>
      </c>
      <c r="F34" s="103">
        <f t="shared" si="0"/>
        <v>0</v>
      </c>
    </row>
    <row r="35" spans="1:6" ht="15.75" customHeight="1">
      <c r="A35" s="115" t="s">
        <v>29</v>
      </c>
      <c r="B35" s="102">
        <v>128623</v>
      </c>
      <c r="C35" s="102">
        <v>128623</v>
      </c>
      <c r="D35" s="102">
        <v>0</v>
      </c>
      <c r="E35" s="102">
        <v>0</v>
      </c>
      <c r="F35" s="103">
        <f t="shared" si="0"/>
        <v>0</v>
      </c>
    </row>
    <row r="36" spans="1:6" ht="15.75" customHeight="1">
      <c r="A36" s="115" t="s">
        <v>53</v>
      </c>
      <c r="B36" s="102">
        <v>0</v>
      </c>
      <c r="C36" s="102">
        <v>0</v>
      </c>
      <c r="D36" s="102">
        <v>0</v>
      </c>
      <c r="E36" s="102">
        <v>0</v>
      </c>
      <c r="F36" s="103">
        <f t="shared" si="0"/>
        <v>0</v>
      </c>
    </row>
    <row r="37" spans="1:6" ht="15.75" customHeight="1">
      <c r="A37" s="115" t="s">
        <v>30</v>
      </c>
      <c r="B37" s="102">
        <v>18375</v>
      </c>
      <c r="C37" s="102">
        <v>18375</v>
      </c>
      <c r="D37" s="102">
        <v>0</v>
      </c>
      <c r="E37" s="102">
        <v>0</v>
      </c>
      <c r="F37" s="103">
        <f t="shared" si="0"/>
        <v>0</v>
      </c>
    </row>
    <row r="38" spans="1:6" ht="15.75" customHeight="1">
      <c r="A38" s="115" t="s">
        <v>31</v>
      </c>
      <c r="B38" s="102">
        <v>2916979</v>
      </c>
      <c r="C38" s="102">
        <v>2916979</v>
      </c>
      <c r="D38" s="102">
        <v>0</v>
      </c>
      <c r="E38" s="102">
        <v>0</v>
      </c>
      <c r="F38" s="103">
        <f t="shared" si="0"/>
        <v>0</v>
      </c>
    </row>
    <row r="39" spans="1:6" ht="15.75" customHeight="1">
      <c r="A39" s="115" t="s">
        <v>32</v>
      </c>
      <c r="B39" s="102">
        <v>440992</v>
      </c>
      <c r="C39" s="102">
        <v>440992</v>
      </c>
      <c r="D39" s="102">
        <v>0</v>
      </c>
      <c r="E39" s="102">
        <v>0</v>
      </c>
      <c r="F39" s="103">
        <f t="shared" si="0"/>
        <v>0</v>
      </c>
    </row>
    <row r="40" spans="1:6" ht="15.75" customHeight="1">
      <c r="A40" s="115" t="s">
        <v>33</v>
      </c>
      <c r="B40" s="102">
        <v>1028982</v>
      </c>
      <c r="C40" s="102">
        <v>1028982</v>
      </c>
      <c r="D40" s="102">
        <v>0</v>
      </c>
      <c r="E40" s="102">
        <v>0</v>
      </c>
      <c r="F40" s="103">
        <f t="shared" si="0"/>
        <v>0</v>
      </c>
    </row>
    <row r="41" spans="1:6" ht="15.75" customHeight="1">
      <c r="A41" s="115" t="s">
        <v>54</v>
      </c>
      <c r="B41" s="102">
        <v>0</v>
      </c>
      <c r="C41" s="102">
        <v>0</v>
      </c>
      <c r="D41" s="102">
        <v>0</v>
      </c>
      <c r="E41" s="102">
        <v>0</v>
      </c>
      <c r="F41" s="103">
        <f t="shared" si="0"/>
        <v>0</v>
      </c>
    </row>
    <row r="42" spans="1:6" ht="15.75" customHeight="1">
      <c r="A42" s="115" t="s">
        <v>34</v>
      </c>
      <c r="B42" s="102">
        <v>620145</v>
      </c>
      <c r="C42" s="102">
        <v>620145</v>
      </c>
      <c r="D42" s="102">
        <v>0</v>
      </c>
      <c r="E42" s="102">
        <v>0</v>
      </c>
      <c r="F42" s="103">
        <f t="shared" si="0"/>
        <v>0</v>
      </c>
    </row>
    <row r="43" spans="1:6" ht="15.75" customHeight="1">
      <c r="A43" s="115" t="s">
        <v>35</v>
      </c>
      <c r="B43" s="102">
        <v>505303</v>
      </c>
      <c r="C43" s="102">
        <v>505303</v>
      </c>
      <c r="D43" s="102">
        <v>0</v>
      </c>
      <c r="E43" s="102">
        <v>0</v>
      </c>
      <c r="F43" s="103">
        <f t="shared" si="0"/>
        <v>0</v>
      </c>
    </row>
    <row r="44" spans="1:6" ht="15.75" customHeight="1">
      <c r="A44" s="115" t="s">
        <v>36</v>
      </c>
      <c r="B44" s="102">
        <v>8176728</v>
      </c>
      <c r="C44" s="102">
        <v>0</v>
      </c>
      <c r="D44" s="102">
        <v>0</v>
      </c>
      <c r="E44" s="102">
        <v>0</v>
      </c>
      <c r="F44" s="103">
        <f t="shared" si="0"/>
        <v>8176728</v>
      </c>
    </row>
    <row r="45" spans="1:6" ht="15.75" customHeight="1">
      <c r="A45" s="115" t="s">
        <v>55</v>
      </c>
      <c r="B45" s="102">
        <v>0</v>
      </c>
      <c r="C45" s="102">
        <v>0</v>
      </c>
      <c r="D45" s="102">
        <v>0</v>
      </c>
      <c r="E45" s="102">
        <v>0</v>
      </c>
      <c r="F45" s="103">
        <f t="shared" si="0"/>
        <v>0</v>
      </c>
    </row>
    <row r="46" spans="1:6" ht="15.75" customHeight="1">
      <c r="A46" s="114" t="s">
        <v>37</v>
      </c>
      <c r="B46" s="102">
        <v>151591</v>
      </c>
      <c r="C46" s="102">
        <v>151591</v>
      </c>
      <c r="D46" s="102">
        <v>0</v>
      </c>
      <c r="E46" s="102">
        <v>0</v>
      </c>
      <c r="F46" s="103">
        <f t="shared" si="0"/>
        <v>0</v>
      </c>
    </row>
    <row r="47" spans="1:6" ht="15.75" customHeight="1">
      <c r="A47" s="115" t="s">
        <v>56</v>
      </c>
      <c r="B47" s="102">
        <v>0</v>
      </c>
      <c r="C47" s="102">
        <v>0</v>
      </c>
      <c r="D47" s="102">
        <v>0</v>
      </c>
      <c r="E47" s="102">
        <v>0</v>
      </c>
      <c r="F47" s="103">
        <f t="shared" si="0"/>
        <v>0</v>
      </c>
    </row>
    <row r="48" spans="1:6" ht="15.75" customHeight="1">
      <c r="A48" s="115" t="s">
        <v>57</v>
      </c>
      <c r="B48" s="102">
        <v>592583</v>
      </c>
      <c r="C48" s="102">
        <v>592583</v>
      </c>
      <c r="D48" s="102">
        <v>0</v>
      </c>
      <c r="E48" s="102">
        <v>0</v>
      </c>
      <c r="F48" s="103">
        <f t="shared" si="0"/>
        <v>0</v>
      </c>
    </row>
    <row r="49" spans="1:6" ht="15.75" customHeight="1">
      <c r="A49" s="115" t="s">
        <v>38</v>
      </c>
      <c r="B49" s="102">
        <v>4341016</v>
      </c>
      <c r="C49" s="102">
        <v>4341016</v>
      </c>
      <c r="D49" s="102">
        <v>0</v>
      </c>
      <c r="E49" s="102">
        <v>0</v>
      </c>
      <c r="F49" s="103">
        <f t="shared" si="0"/>
        <v>0</v>
      </c>
    </row>
    <row r="50" spans="1:6" ht="15.75" customHeight="1">
      <c r="A50" s="115" t="s">
        <v>39</v>
      </c>
      <c r="B50" s="102">
        <v>2255491</v>
      </c>
      <c r="C50" s="102">
        <v>2255491</v>
      </c>
      <c r="D50" s="102">
        <v>0</v>
      </c>
      <c r="E50" s="102">
        <v>0</v>
      </c>
      <c r="F50" s="103">
        <f t="shared" si="0"/>
        <v>0</v>
      </c>
    </row>
    <row r="51" spans="1:6" ht="15.75" customHeight="1">
      <c r="A51" s="115" t="s">
        <v>40</v>
      </c>
      <c r="B51" s="102">
        <v>2223335</v>
      </c>
      <c r="C51" s="102">
        <v>2189435</v>
      </c>
      <c r="D51" s="102">
        <v>33900</v>
      </c>
      <c r="E51" s="102">
        <v>0</v>
      </c>
      <c r="F51" s="103">
        <f t="shared" si="0"/>
        <v>0</v>
      </c>
    </row>
    <row r="52" spans="1:6" ht="15.75" customHeight="1">
      <c r="A52" s="115" t="s">
        <v>41</v>
      </c>
      <c r="B52" s="102">
        <v>0</v>
      </c>
      <c r="C52" s="102">
        <v>0</v>
      </c>
      <c r="D52" s="102">
        <v>0</v>
      </c>
      <c r="E52" s="102">
        <v>0</v>
      </c>
      <c r="F52" s="103">
        <f t="shared" si="0"/>
        <v>0</v>
      </c>
    </row>
    <row r="53" spans="1:6" ht="15.75" customHeight="1">
      <c r="A53" s="115" t="s">
        <v>42</v>
      </c>
      <c r="B53" s="102">
        <v>59718</v>
      </c>
      <c r="C53" s="102">
        <v>0</v>
      </c>
      <c r="D53" s="102">
        <v>0</v>
      </c>
      <c r="E53" s="102">
        <v>0</v>
      </c>
      <c r="F53" s="103">
        <f t="shared" si="0"/>
        <v>59718</v>
      </c>
    </row>
    <row r="54" spans="1:6" ht="15.75" customHeight="1">
      <c r="A54" s="115" t="s">
        <v>43</v>
      </c>
      <c r="B54" s="102">
        <v>1365867</v>
      </c>
      <c r="C54" s="102">
        <v>0</v>
      </c>
      <c r="D54" s="102">
        <v>0</v>
      </c>
      <c r="E54" s="102">
        <v>0</v>
      </c>
      <c r="F54" s="103">
        <f t="shared" si="0"/>
        <v>1365867</v>
      </c>
    </row>
    <row r="55" spans="1:6" ht="15.75" customHeight="1">
      <c r="A55" s="115" t="s">
        <v>58</v>
      </c>
      <c r="B55" s="102">
        <v>0</v>
      </c>
      <c r="C55" s="102">
        <v>0</v>
      </c>
      <c r="D55" s="102">
        <v>0</v>
      </c>
      <c r="E55" s="102">
        <v>0</v>
      </c>
      <c r="F55" s="103">
        <f t="shared" si="0"/>
        <v>0</v>
      </c>
    </row>
    <row r="56" spans="1:6" ht="15.75" customHeight="1">
      <c r="A56" s="115" t="s">
        <v>44</v>
      </c>
      <c r="B56" s="102">
        <v>9766137</v>
      </c>
      <c r="C56" s="102">
        <v>8138450</v>
      </c>
      <c r="D56" s="102">
        <v>0</v>
      </c>
      <c r="E56" s="102">
        <v>1627687</v>
      </c>
      <c r="F56" s="103">
        <f t="shared" si="0"/>
        <v>0</v>
      </c>
    </row>
    <row r="57" spans="1:6" ht="15.75" customHeight="1">
      <c r="A57" s="115" t="s">
        <v>45</v>
      </c>
      <c r="B57" s="102">
        <v>38833333</v>
      </c>
      <c r="C57" s="102">
        <v>38381333</v>
      </c>
      <c r="D57" s="102">
        <v>452000</v>
      </c>
      <c r="E57" s="102">
        <v>0</v>
      </c>
      <c r="F57" s="103">
        <f t="shared" si="0"/>
        <v>0</v>
      </c>
    </row>
    <row r="58" spans="1:6" ht="15.75" customHeight="1" thickBot="1">
      <c r="A58" s="117" t="s">
        <v>46</v>
      </c>
      <c r="B58" s="102">
        <v>0</v>
      </c>
      <c r="C58" s="102">
        <v>0</v>
      </c>
      <c r="D58" s="102">
        <v>0</v>
      </c>
      <c r="E58" s="102">
        <v>0</v>
      </c>
      <c r="F58" s="134">
        <f t="shared" si="0"/>
        <v>0</v>
      </c>
    </row>
    <row r="59" spans="1:6" ht="16.5" thickBot="1">
      <c r="A59" s="118" t="s">
        <v>2</v>
      </c>
      <c r="B59" s="105">
        <f>SUM(B8:B58)</f>
        <v>157144159</v>
      </c>
      <c r="C59" s="105">
        <f>SUM(C8:C58)</f>
        <v>133923231</v>
      </c>
      <c r="D59" s="105">
        <f>SUM(D8:D58)</f>
        <v>4075479</v>
      </c>
      <c r="E59" s="105">
        <f>SUM(E8:E58)</f>
        <v>2245621</v>
      </c>
      <c r="F59" s="106">
        <f>SUM(F8:F58)</f>
        <v>16899828</v>
      </c>
    </row>
    <row r="60" spans="1:6" ht="15.75">
      <c r="A60" s="42"/>
      <c r="E60" s="1"/>
      <c r="F60" s="1"/>
    </row>
    <row r="61" ht="15.75">
      <c r="A61" s="85"/>
    </row>
    <row r="62" ht="15.75">
      <c r="A62" s="85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"/>
  <dimension ref="A1:G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2.69921875" style="2" customWidth="1"/>
    <col min="2" max="7" width="13.796875" style="2" customWidth="1"/>
    <col min="8" max="16384" width="8.8984375" style="107" customWidth="1"/>
  </cols>
  <sheetData>
    <row r="1" spans="1:7" s="2" customFormat="1" ht="15.75" customHeight="1">
      <c r="A1" s="42" t="str">
        <f>status!$C$1</f>
        <v>UNEP/OzL.Pro/ExCom/57/L.1</v>
      </c>
      <c r="B1" s="47"/>
      <c r="G1" s="4"/>
    </row>
    <row r="2" spans="1:7" s="2" customFormat="1" ht="15.75" customHeight="1">
      <c r="A2" s="42" t="s">
        <v>87</v>
      </c>
      <c r="B2" s="5"/>
      <c r="G2" s="4"/>
    </row>
    <row r="3" spans="2:7" s="2" customFormat="1" ht="15.75" customHeight="1">
      <c r="B3" s="5"/>
      <c r="G3" s="4"/>
    </row>
    <row r="4" spans="1:7" s="2" customFormat="1" ht="19.5" customHeight="1">
      <c r="A4" s="384" t="s">
        <v>1</v>
      </c>
      <c r="B4" s="384"/>
      <c r="C4" s="384"/>
      <c r="D4" s="384"/>
      <c r="E4" s="384"/>
      <c r="F4" s="384"/>
      <c r="G4" s="384"/>
    </row>
    <row r="5" spans="1:7" s="2" customFormat="1" ht="19.5" customHeight="1">
      <c r="A5" s="386" t="s">
        <v>74</v>
      </c>
      <c r="B5" s="386"/>
      <c r="C5" s="386"/>
      <c r="D5" s="386"/>
      <c r="E5" s="386"/>
      <c r="F5" s="386"/>
      <c r="G5" s="386"/>
    </row>
    <row r="6" spans="1:7" s="2" customFormat="1" ht="30" customHeight="1" thickBot="1">
      <c r="A6" s="401" t="str">
        <f>status!$A$8</f>
        <v>Al 27 de marzo de 2009</v>
      </c>
      <c r="B6" s="401"/>
      <c r="C6" s="401"/>
      <c r="D6" s="401"/>
      <c r="E6" s="401"/>
      <c r="F6" s="401"/>
      <c r="G6" s="401"/>
    </row>
    <row r="7" spans="1:7" s="2" customFormat="1" ht="34.5" customHeight="1" thickBot="1">
      <c r="A7" s="66" t="s">
        <v>9</v>
      </c>
      <c r="B7" s="9" t="s">
        <v>60</v>
      </c>
      <c r="C7" s="127" t="s">
        <v>3</v>
      </c>
      <c r="D7" s="127" t="s">
        <v>4</v>
      </c>
      <c r="E7" s="127" t="s">
        <v>5</v>
      </c>
      <c r="F7" s="127" t="s">
        <v>63</v>
      </c>
      <c r="G7" s="135" t="s">
        <v>61</v>
      </c>
    </row>
    <row r="8" spans="1:7" ht="18" customHeight="1">
      <c r="A8" s="114" t="s">
        <v>10</v>
      </c>
      <c r="B8" s="108">
        <v>2577608</v>
      </c>
      <c r="C8" s="108">
        <v>2062087</v>
      </c>
      <c r="D8" s="108">
        <v>515521</v>
      </c>
      <c r="E8" s="108">
        <v>0</v>
      </c>
      <c r="F8" s="108">
        <v>0</v>
      </c>
      <c r="G8" s="136">
        <f>B8-C8-D8-E8-F8</f>
        <v>0</v>
      </c>
    </row>
    <row r="9" spans="1:7" ht="18" customHeight="1">
      <c r="A9" s="115" t="s">
        <v>65</v>
      </c>
      <c r="B9" s="109">
        <v>1506507</v>
      </c>
      <c r="C9" s="109">
        <v>1389879</v>
      </c>
      <c r="D9" s="109">
        <v>116628</v>
      </c>
      <c r="E9" s="109">
        <v>0</v>
      </c>
      <c r="F9" s="109">
        <v>0</v>
      </c>
      <c r="G9" s="137">
        <f>B9-C9-D9-E9-F9</f>
        <v>0</v>
      </c>
    </row>
    <row r="10" spans="1:7" ht="18" customHeight="1">
      <c r="A10" s="116" t="s">
        <v>12</v>
      </c>
      <c r="B10" s="109">
        <v>63182</v>
      </c>
      <c r="C10" s="109">
        <v>0</v>
      </c>
      <c r="D10" s="109">
        <v>0</v>
      </c>
      <c r="E10" s="109">
        <v>0</v>
      </c>
      <c r="F10" s="109">
        <v>0</v>
      </c>
      <c r="G10" s="137">
        <f aca="true" t="shared" si="0" ref="G10:G57">B10-C10-D10-E10-F10</f>
        <v>63182</v>
      </c>
    </row>
    <row r="11" spans="1:7" ht="18" customHeight="1">
      <c r="A11" s="115" t="s">
        <v>13</v>
      </c>
      <c r="B11" s="109">
        <v>160066</v>
      </c>
      <c r="C11" s="109">
        <v>0</v>
      </c>
      <c r="D11" s="109">
        <v>0</v>
      </c>
      <c r="E11" s="109">
        <v>0</v>
      </c>
      <c r="F11" s="109">
        <v>0</v>
      </c>
      <c r="G11" s="137">
        <f t="shared" si="0"/>
        <v>160066</v>
      </c>
    </row>
    <row r="12" spans="1:7" ht="18" customHeight="1">
      <c r="A12" s="115" t="s">
        <v>14</v>
      </c>
      <c r="B12" s="109">
        <v>1754689</v>
      </c>
      <c r="C12" s="109">
        <v>1754689</v>
      </c>
      <c r="D12" s="109">
        <v>0</v>
      </c>
      <c r="E12" s="109">
        <v>0</v>
      </c>
      <c r="F12" s="109">
        <v>0</v>
      </c>
      <c r="G12" s="137">
        <f t="shared" si="0"/>
        <v>0</v>
      </c>
    </row>
    <row r="13" spans="1:7" ht="18" customHeight="1">
      <c r="A13" s="115" t="s">
        <v>47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37">
        <f t="shared" si="0"/>
        <v>0</v>
      </c>
    </row>
    <row r="14" spans="1:7" ht="18" customHeight="1">
      <c r="A14" s="115" t="s">
        <v>48</v>
      </c>
      <c r="B14" s="109">
        <v>75684</v>
      </c>
      <c r="C14" s="109">
        <v>75684</v>
      </c>
      <c r="D14" s="109">
        <v>0</v>
      </c>
      <c r="E14" s="109">
        <v>0</v>
      </c>
      <c r="F14" s="109">
        <v>0</v>
      </c>
      <c r="G14" s="137">
        <f t="shared" si="0"/>
        <v>0</v>
      </c>
    </row>
    <row r="15" spans="1:7" ht="18" customHeight="1">
      <c r="A15" s="115" t="s">
        <v>15</v>
      </c>
      <c r="B15" s="109">
        <v>5403397</v>
      </c>
      <c r="C15" s="109">
        <v>4551817</v>
      </c>
      <c r="D15" s="109">
        <v>851580</v>
      </c>
      <c r="E15" s="109">
        <v>0</v>
      </c>
      <c r="F15" s="109">
        <v>0</v>
      </c>
      <c r="G15" s="137">
        <f t="shared" si="0"/>
        <v>0</v>
      </c>
    </row>
    <row r="16" spans="1:7" ht="18" customHeight="1">
      <c r="A16" s="115" t="s">
        <v>49</v>
      </c>
      <c r="B16" s="109">
        <v>52249</v>
      </c>
      <c r="C16" s="109">
        <v>52249</v>
      </c>
      <c r="D16" s="109">
        <v>0</v>
      </c>
      <c r="E16" s="109">
        <v>0</v>
      </c>
      <c r="F16" s="109">
        <v>0</v>
      </c>
      <c r="G16" s="137">
        <f t="shared" si="0"/>
        <v>0</v>
      </c>
    </row>
    <row r="17" spans="1:7" ht="18" customHeight="1">
      <c r="A17" s="115" t="s">
        <v>16</v>
      </c>
      <c r="B17" s="109">
        <v>452823</v>
      </c>
      <c r="C17" s="109">
        <v>452823</v>
      </c>
      <c r="D17" s="109">
        <v>0</v>
      </c>
      <c r="E17" s="109">
        <v>0</v>
      </c>
      <c r="F17" s="109">
        <v>0</v>
      </c>
      <c r="G17" s="137">
        <f t="shared" si="0"/>
        <v>0</v>
      </c>
    </row>
    <row r="18" spans="1:7" ht="18" customHeight="1">
      <c r="A18" s="115" t="s">
        <v>17</v>
      </c>
      <c r="B18" s="109">
        <v>1249617</v>
      </c>
      <c r="C18" s="109">
        <v>1249617</v>
      </c>
      <c r="D18" s="109">
        <v>0</v>
      </c>
      <c r="E18" s="109">
        <v>0</v>
      </c>
      <c r="F18" s="109">
        <v>0</v>
      </c>
      <c r="G18" s="137">
        <f t="shared" si="0"/>
        <v>0</v>
      </c>
    </row>
    <row r="19" spans="1:7" ht="18" customHeight="1">
      <c r="A19" s="115" t="s">
        <v>62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37">
        <f t="shared" si="0"/>
        <v>0</v>
      </c>
    </row>
    <row r="20" spans="1:7" ht="18" customHeight="1">
      <c r="A20" s="115" t="s">
        <v>18</v>
      </c>
      <c r="B20" s="109">
        <v>1075455</v>
      </c>
      <c r="C20" s="109">
        <v>972015</v>
      </c>
      <c r="D20" s="109">
        <v>103440</v>
      </c>
      <c r="E20" s="109">
        <v>0</v>
      </c>
      <c r="F20" s="109">
        <v>0</v>
      </c>
      <c r="G20" s="137">
        <f t="shared" si="0"/>
        <v>0</v>
      </c>
    </row>
    <row r="21" spans="1:7" ht="18" customHeight="1">
      <c r="A21" s="115" t="s">
        <v>19</v>
      </c>
      <c r="B21" s="109">
        <v>11159474</v>
      </c>
      <c r="C21" s="109">
        <v>9504614</v>
      </c>
      <c r="D21" s="109">
        <v>961572</v>
      </c>
      <c r="E21" s="109">
        <v>0</v>
      </c>
      <c r="F21" s="109">
        <v>693288</v>
      </c>
      <c r="G21" s="137">
        <f t="shared" si="0"/>
        <v>0</v>
      </c>
    </row>
    <row r="22" spans="1:7" ht="18" customHeight="1">
      <c r="A22" s="115" t="s">
        <v>50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37">
        <f t="shared" si="0"/>
        <v>0</v>
      </c>
    </row>
    <row r="23" spans="1:7" ht="18" customHeight="1">
      <c r="A23" s="115" t="s">
        <v>20</v>
      </c>
      <c r="B23" s="109">
        <v>15748660</v>
      </c>
      <c r="C23" s="109">
        <v>15577174</v>
      </c>
      <c r="D23" s="109">
        <v>0</v>
      </c>
      <c r="E23" s="109">
        <v>0</v>
      </c>
      <c r="F23" s="109">
        <v>171486</v>
      </c>
      <c r="G23" s="137">
        <f t="shared" si="0"/>
        <v>0</v>
      </c>
    </row>
    <row r="24" spans="1:7" ht="18" customHeight="1">
      <c r="A24" s="115" t="s">
        <v>21</v>
      </c>
      <c r="B24" s="109">
        <v>661818</v>
      </c>
      <c r="C24" s="109">
        <v>661818</v>
      </c>
      <c r="D24" s="109">
        <v>0</v>
      </c>
      <c r="E24" s="109">
        <v>0</v>
      </c>
      <c r="F24" s="109">
        <v>0</v>
      </c>
      <c r="G24" s="137">
        <f t="shared" si="0"/>
        <v>0</v>
      </c>
    </row>
    <row r="25" spans="1:7" ht="18" customHeight="1">
      <c r="A25" s="115" t="s">
        <v>22</v>
      </c>
      <c r="B25" s="109">
        <v>243828</v>
      </c>
      <c r="C25" s="109">
        <v>243828</v>
      </c>
      <c r="D25" s="109">
        <v>0</v>
      </c>
      <c r="E25" s="109">
        <v>0</v>
      </c>
      <c r="F25" s="109">
        <v>0</v>
      </c>
      <c r="G25" s="137">
        <f t="shared" si="0"/>
        <v>0</v>
      </c>
    </row>
    <row r="26" spans="1:7" ht="18" customHeight="1">
      <c r="A26" s="115" t="s">
        <v>23</v>
      </c>
      <c r="B26" s="109">
        <v>52249</v>
      </c>
      <c r="C26" s="109">
        <v>52249</v>
      </c>
      <c r="D26" s="109">
        <v>0</v>
      </c>
      <c r="E26" s="109">
        <v>0</v>
      </c>
      <c r="F26" s="109">
        <v>0</v>
      </c>
      <c r="G26" s="137">
        <f t="shared" si="0"/>
        <v>0</v>
      </c>
    </row>
    <row r="27" spans="1:7" ht="18" customHeight="1">
      <c r="A27" s="115" t="s">
        <v>24</v>
      </c>
      <c r="B27" s="109">
        <v>365742</v>
      </c>
      <c r="C27" s="109">
        <v>365742</v>
      </c>
      <c r="D27" s="109">
        <v>0</v>
      </c>
      <c r="E27" s="109">
        <v>0</v>
      </c>
      <c r="F27" s="109">
        <v>0</v>
      </c>
      <c r="G27" s="137">
        <f t="shared" si="0"/>
        <v>0</v>
      </c>
    </row>
    <row r="28" spans="1:7" ht="18" customHeight="1">
      <c r="A28" s="115" t="s">
        <v>25</v>
      </c>
      <c r="B28" s="109">
        <v>465885</v>
      </c>
      <c r="C28" s="109">
        <v>465885</v>
      </c>
      <c r="D28" s="109">
        <v>0</v>
      </c>
      <c r="E28" s="109">
        <v>0</v>
      </c>
      <c r="F28" s="109">
        <v>0</v>
      </c>
      <c r="G28" s="137">
        <f t="shared" si="0"/>
        <v>0</v>
      </c>
    </row>
    <row r="29" spans="1:7" ht="18" customHeight="1">
      <c r="A29" s="115" t="s">
        <v>26</v>
      </c>
      <c r="B29" s="109">
        <v>9052105</v>
      </c>
      <c r="C29" s="109">
        <v>7483323</v>
      </c>
      <c r="D29" s="109">
        <v>0</v>
      </c>
      <c r="E29" s="109">
        <v>0</v>
      </c>
      <c r="F29" s="109">
        <v>1568782</v>
      </c>
      <c r="G29" s="137">
        <f t="shared" si="0"/>
        <v>0</v>
      </c>
    </row>
    <row r="30" spans="1:7" ht="18" customHeight="1">
      <c r="A30" s="115" t="s">
        <v>64</v>
      </c>
      <c r="B30" s="109">
        <v>26882010</v>
      </c>
      <c r="C30" s="109">
        <v>21717336</v>
      </c>
      <c r="D30" s="109">
        <v>0</v>
      </c>
      <c r="E30" s="109">
        <v>0</v>
      </c>
      <c r="F30" s="109">
        <v>5164674</v>
      </c>
      <c r="G30" s="137">
        <f t="shared" si="0"/>
        <v>0</v>
      </c>
    </row>
    <row r="31" spans="1:7" ht="18" customHeight="1">
      <c r="A31" s="115" t="s">
        <v>51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37">
        <f t="shared" si="0"/>
        <v>0</v>
      </c>
    </row>
    <row r="32" spans="1:7" ht="18" customHeight="1">
      <c r="A32" s="115" t="s">
        <v>52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37">
        <f t="shared" si="0"/>
        <v>0</v>
      </c>
    </row>
    <row r="33" spans="1:7" ht="18" customHeight="1">
      <c r="A33" s="115" t="s">
        <v>27</v>
      </c>
      <c r="B33" s="109">
        <v>17416</v>
      </c>
      <c r="C33" s="109">
        <v>17416</v>
      </c>
      <c r="D33" s="109">
        <v>0</v>
      </c>
      <c r="E33" s="109">
        <v>0</v>
      </c>
      <c r="F33" s="109">
        <v>0</v>
      </c>
      <c r="G33" s="137">
        <f t="shared" si="0"/>
        <v>0</v>
      </c>
    </row>
    <row r="34" spans="1:7" ht="18" customHeight="1">
      <c r="A34" s="115" t="s">
        <v>28</v>
      </c>
      <c r="B34" s="109">
        <v>0</v>
      </c>
      <c r="C34" s="109">
        <v>0</v>
      </c>
      <c r="D34" s="109">
        <v>0</v>
      </c>
      <c r="E34" s="109">
        <v>0</v>
      </c>
      <c r="F34" s="109">
        <v>0</v>
      </c>
      <c r="G34" s="137">
        <f t="shared" si="0"/>
        <v>0</v>
      </c>
    </row>
    <row r="35" spans="1:7" ht="18" customHeight="1">
      <c r="A35" s="115" t="s">
        <v>29</v>
      </c>
      <c r="B35" s="109">
        <v>121914</v>
      </c>
      <c r="C35" s="109">
        <v>121914</v>
      </c>
      <c r="D35" s="109">
        <v>0</v>
      </c>
      <c r="E35" s="109">
        <v>0</v>
      </c>
      <c r="F35" s="109">
        <v>0</v>
      </c>
      <c r="G35" s="137">
        <f t="shared" si="0"/>
        <v>0</v>
      </c>
    </row>
    <row r="36" spans="1:7" ht="18" customHeight="1">
      <c r="A36" s="115" t="s">
        <v>53</v>
      </c>
      <c r="B36" s="109">
        <v>0</v>
      </c>
      <c r="C36" s="109">
        <v>0</v>
      </c>
      <c r="D36" s="109">
        <v>0</v>
      </c>
      <c r="E36" s="109">
        <v>0</v>
      </c>
      <c r="F36" s="109">
        <v>0</v>
      </c>
      <c r="G36" s="137">
        <f t="shared" si="0"/>
        <v>0</v>
      </c>
    </row>
    <row r="37" spans="1:7" ht="18" customHeight="1">
      <c r="A37" s="115" t="s">
        <v>30</v>
      </c>
      <c r="B37" s="109">
        <v>17416</v>
      </c>
      <c r="C37" s="109">
        <v>17416</v>
      </c>
      <c r="D37" s="109">
        <v>0</v>
      </c>
      <c r="E37" s="109">
        <v>0</v>
      </c>
      <c r="F37" s="109">
        <v>0</v>
      </c>
      <c r="G37" s="137">
        <f t="shared" si="0"/>
        <v>0</v>
      </c>
    </row>
    <row r="38" spans="1:7" ht="18" customHeight="1">
      <c r="A38" s="115" t="s">
        <v>31</v>
      </c>
      <c r="B38" s="109">
        <v>2764833</v>
      </c>
      <c r="C38" s="109">
        <v>2764833</v>
      </c>
      <c r="D38" s="109">
        <v>0</v>
      </c>
      <c r="E38" s="109">
        <v>0</v>
      </c>
      <c r="F38" s="109">
        <v>0</v>
      </c>
      <c r="G38" s="137">
        <f t="shared" si="0"/>
        <v>0</v>
      </c>
    </row>
    <row r="39" spans="1:7" ht="18" customHeight="1">
      <c r="A39" s="115" t="s">
        <v>32</v>
      </c>
      <c r="B39" s="109">
        <v>417990</v>
      </c>
      <c r="C39" s="109">
        <v>417990</v>
      </c>
      <c r="D39" s="109">
        <v>0</v>
      </c>
      <c r="E39" s="109">
        <v>0</v>
      </c>
      <c r="F39" s="109">
        <v>0</v>
      </c>
      <c r="G39" s="137">
        <f t="shared" si="0"/>
        <v>0</v>
      </c>
    </row>
    <row r="40" spans="1:7" ht="18" customHeight="1">
      <c r="A40" s="115" t="s">
        <v>33</v>
      </c>
      <c r="B40" s="109">
        <v>975311</v>
      </c>
      <c r="C40" s="109">
        <v>975311</v>
      </c>
      <c r="D40" s="109">
        <v>0</v>
      </c>
      <c r="E40" s="109">
        <v>0</v>
      </c>
      <c r="F40" s="109">
        <v>0</v>
      </c>
      <c r="G40" s="137">
        <f t="shared" si="0"/>
        <v>0</v>
      </c>
    </row>
    <row r="41" spans="1:7" ht="18" customHeight="1">
      <c r="A41" s="115" t="s">
        <v>54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37">
        <f t="shared" si="0"/>
        <v>0</v>
      </c>
    </row>
    <row r="42" spans="1:7" ht="18" customHeight="1">
      <c r="A42" s="115" t="s">
        <v>34</v>
      </c>
      <c r="B42" s="109">
        <v>1606</v>
      </c>
      <c r="C42" s="109">
        <v>1606</v>
      </c>
      <c r="D42" s="109">
        <v>0</v>
      </c>
      <c r="E42" s="109">
        <v>0</v>
      </c>
      <c r="F42" s="109">
        <v>0</v>
      </c>
      <c r="G42" s="137">
        <f t="shared" si="0"/>
        <v>0</v>
      </c>
    </row>
    <row r="43" spans="1:7" ht="18" customHeight="1">
      <c r="A43" s="115" t="s">
        <v>35</v>
      </c>
      <c r="B43" s="109">
        <v>478947</v>
      </c>
      <c r="C43" s="109">
        <v>478947</v>
      </c>
      <c r="D43" s="109">
        <v>0</v>
      </c>
      <c r="E43" s="109">
        <v>0</v>
      </c>
      <c r="F43" s="109">
        <v>0</v>
      </c>
      <c r="G43" s="137">
        <f t="shared" si="0"/>
        <v>0</v>
      </c>
    </row>
    <row r="44" spans="1:7" ht="18" customHeight="1">
      <c r="A44" s="115" t="s">
        <v>36</v>
      </c>
      <c r="B44" s="109">
        <v>7750239</v>
      </c>
      <c r="C44" s="109">
        <v>0</v>
      </c>
      <c r="D44" s="109">
        <v>0</v>
      </c>
      <c r="E44" s="109">
        <v>0</v>
      </c>
      <c r="F44" s="109">
        <v>0</v>
      </c>
      <c r="G44" s="137">
        <f t="shared" si="0"/>
        <v>7750239</v>
      </c>
    </row>
    <row r="45" spans="1:7" ht="18" customHeight="1">
      <c r="A45" s="115" t="s">
        <v>55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37">
        <f t="shared" si="0"/>
        <v>0</v>
      </c>
    </row>
    <row r="46" spans="1:7" ht="18" customHeight="1">
      <c r="A46" s="114" t="s">
        <v>37</v>
      </c>
      <c r="B46" s="109">
        <v>143684</v>
      </c>
      <c r="C46" s="109">
        <v>143684</v>
      </c>
      <c r="D46" s="109">
        <v>0</v>
      </c>
      <c r="E46" s="109">
        <v>0</v>
      </c>
      <c r="F46" s="109">
        <v>0</v>
      </c>
      <c r="G46" s="137">
        <f t="shared" si="0"/>
        <v>0</v>
      </c>
    </row>
    <row r="47" spans="1:7" ht="18" customHeight="1">
      <c r="A47" s="115" t="s">
        <v>56</v>
      </c>
      <c r="B47" s="109">
        <v>61290</v>
      </c>
      <c r="C47" s="109">
        <v>61290</v>
      </c>
      <c r="D47" s="109">
        <v>0</v>
      </c>
      <c r="E47" s="109">
        <v>0</v>
      </c>
      <c r="F47" s="109">
        <v>0</v>
      </c>
      <c r="G47" s="137">
        <f t="shared" si="0"/>
        <v>0</v>
      </c>
    </row>
    <row r="48" spans="1:7" ht="18" customHeight="1">
      <c r="A48" s="115" t="s">
        <v>57</v>
      </c>
      <c r="B48" s="109">
        <v>561675</v>
      </c>
      <c r="C48" s="109">
        <v>561675</v>
      </c>
      <c r="D48" s="109">
        <v>0</v>
      </c>
      <c r="E48" s="109">
        <v>0</v>
      </c>
      <c r="F48" s="109">
        <v>0</v>
      </c>
      <c r="G48" s="137">
        <f t="shared" si="0"/>
        <v>0</v>
      </c>
    </row>
    <row r="49" spans="1:7" ht="18" customHeight="1">
      <c r="A49" s="115" t="s">
        <v>38</v>
      </c>
      <c r="B49" s="109">
        <v>4114593</v>
      </c>
      <c r="C49" s="109">
        <v>4114593</v>
      </c>
      <c r="D49" s="109">
        <v>0</v>
      </c>
      <c r="E49" s="109">
        <v>0</v>
      </c>
      <c r="F49" s="109">
        <v>0</v>
      </c>
      <c r="G49" s="137">
        <f t="shared" si="0"/>
        <v>0</v>
      </c>
    </row>
    <row r="50" spans="1:7" ht="18" customHeight="1">
      <c r="A50" s="115" t="s">
        <v>39</v>
      </c>
      <c r="B50" s="109">
        <v>2137847</v>
      </c>
      <c r="C50" s="109">
        <v>2137847</v>
      </c>
      <c r="D50" s="109">
        <v>0</v>
      </c>
      <c r="E50" s="109">
        <v>0</v>
      </c>
      <c r="F50" s="109">
        <v>0</v>
      </c>
      <c r="G50" s="137">
        <f t="shared" si="0"/>
        <v>0</v>
      </c>
    </row>
    <row r="51" spans="1:7" ht="18" customHeight="1">
      <c r="A51" s="115" t="s">
        <v>40</v>
      </c>
      <c r="B51" s="109">
        <v>2107368</v>
      </c>
      <c r="C51" s="109">
        <v>1864768</v>
      </c>
      <c r="D51" s="109">
        <v>242600</v>
      </c>
      <c r="E51" s="109">
        <v>0</v>
      </c>
      <c r="F51" s="109">
        <v>0</v>
      </c>
      <c r="G51" s="137">
        <f t="shared" si="0"/>
        <v>0</v>
      </c>
    </row>
    <row r="52" spans="1:7" ht="18" customHeight="1">
      <c r="A52" s="115" t="s">
        <v>41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37">
        <f t="shared" si="0"/>
        <v>0</v>
      </c>
    </row>
    <row r="53" spans="1:7" ht="18" customHeight="1">
      <c r="A53" s="115" t="s">
        <v>42</v>
      </c>
      <c r="B53" s="109">
        <v>56603</v>
      </c>
      <c r="C53" s="109">
        <v>0</v>
      </c>
      <c r="D53" s="109">
        <v>0</v>
      </c>
      <c r="E53" s="109">
        <v>0</v>
      </c>
      <c r="F53" s="109">
        <v>0</v>
      </c>
      <c r="G53" s="137">
        <f t="shared" si="0"/>
        <v>56603</v>
      </c>
    </row>
    <row r="54" spans="1:7" ht="18" customHeight="1">
      <c r="A54" s="115" t="s">
        <v>43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37">
        <f t="shared" si="0"/>
        <v>0</v>
      </c>
    </row>
    <row r="55" spans="1:7" ht="18" customHeight="1">
      <c r="A55" s="115" t="s">
        <v>58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37">
        <f t="shared" si="0"/>
        <v>0</v>
      </c>
    </row>
    <row r="56" spans="1:7" ht="18" customHeight="1">
      <c r="A56" s="115" t="s">
        <v>44</v>
      </c>
      <c r="B56" s="109">
        <v>9256746</v>
      </c>
      <c r="C56" s="109">
        <v>8756709</v>
      </c>
      <c r="D56" s="109">
        <v>0</v>
      </c>
      <c r="E56" s="109">
        <v>0</v>
      </c>
      <c r="F56" s="109">
        <v>500037</v>
      </c>
      <c r="G56" s="137">
        <f t="shared" si="0"/>
        <v>0</v>
      </c>
    </row>
    <row r="57" spans="1:7" ht="18" customHeight="1">
      <c r="A57" s="115" t="s">
        <v>45</v>
      </c>
      <c r="B57" s="109">
        <v>37916667</v>
      </c>
      <c r="C57" s="109">
        <v>36791667</v>
      </c>
      <c r="D57" s="109">
        <v>1125000</v>
      </c>
      <c r="E57" s="109">
        <v>0</v>
      </c>
      <c r="F57" s="109">
        <v>0</v>
      </c>
      <c r="G57" s="137">
        <f t="shared" si="0"/>
        <v>0</v>
      </c>
    </row>
    <row r="58" spans="1:7" ht="18" customHeight="1" thickBot="1">
      <c r="A58" s="117" t="s">
        <v>46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37">
        <f>B58-C58-D58-E58-F58</f>
        <v>0</v>
      </c>
    </row>
    <row r="59" spans="1:7" ht="19.5" customHeight="1" thickBot="1">
      <c r="A59" s="138" t="s">
        <v>2</v>
      </c>
      <c r="B59" s="139">
        <f aca="true" t="shared" si="1" ref="B59:G59">SUM(B8:B58)</f>
        <v>147905193</v>
      </c>
      <c r="C59" s="139">
        <f t="shared" si="1"/>
        <v>127860495</v>
      </c>
      <c r="D59" s="139">
        <f t="shared" si="1"/>
        <v>3916341</v>
      </c>
      <c r="E59" s="139">
        <f t="shared" si="1"/>
        <v>0</v>
      </c>
      <c r="F59" s="139">
        <f t="shared" si="1"/>
        <v>8098267</v>
      </c>
      <c r="G59" s="140">
        <f t="shared" si="1"/>
        <v>8030090</v>
      </c>
    </row>
    <row r="60" spans="1:7" ht="15.75" customHeight="1">
      <c r="A60" s="113"/>
      <c r="B60" s="84"/>
      <c r="C60" s="84"/>
      <c r="D60" s="84"/>
      <c r="E60" s="84"/>
      <c r="F60" s="84"/>
      <c r="G60" s="84"/>
    </row>
    <row r="61" spans="1:7" ht="15.75" customHeight="1">
      <c r="A61" s="113"/>
      <c r="B61" s="84"/>
      <c r="C61" s="112"/>
      <c r="D61" s="112"/>
      <c r="E61" s="112"/>
      <c r="G61" s="112"/>
    </row>
  </sheetData>
  <mergeCells count="3">
    <mergeCell ref="A6:G6"/>
    <mergeCell ref="A4:G4"/>
    <mergeCell ref="A5:G5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83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</v>
      </c>
      <c r="B4" s="6"/>
      <c r="C4" s="6"/>
      <c r="D4" s="6"/>
      <c r="E4" s="6"/>
      <c r="F4" s="6"/>
    </row>
    <row r="5" spans="1:6" s="2" customFormat="1" ht="19.5" customHeight="1">
      <c r="A5" s="119" t="s">
        <v>79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14" t="s">
        <v>10</v>
      </c>
      <c r="B8" s="108">
        <v>2633990</v>
      </c>
      <c r="C8" s="108">
        <v>2513094</v>
      </c>
      <c r="D8" s="108">
        <v>120896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65</v>
      </c>
      <c r="B9" s="109">
        <v>1308273</v>
      </c>
      <c r="C9" s="109">
        <v>1308273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12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13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14</v>
      </c>
      <c r="B12" s="109">
        <v>1849026</v>
      </c>
      <c r="C12" s="109">
        <v>1849026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47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48</v>
      </c>
      <c r="B14" s="109">
        <v>226767</v>
      </c>
      <c r="C14" s="109">
        <v>226767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15</v>
      </c>
      <c r="B15" s="109">
        <v>5424973</v>
      </c>
      <c r="C15" s="109">
        <v>5374973</v>
      </c>
      <c r="D15" s="109">
        <v>50000</v>
      </c>
      <c r="E15" s="109">
        <v>0</v>
      </c>
      <c r="F15" s="137">
        <f t="shared" si="0"/>
        <v>0</v>
      </c>
    </row>
    <row r="16" spans="1:6" ht="18" customHeight="1">
      <c r="A16" s="115" t="s">
        <v>49</v>
      </c>
      <c r="B16" s="109">
        <v>34887</v>
      </c>
      <c r="C16" s="109">
        <v>34887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16</v>
      </c>
      <c r="B17" s="109">
        <v>732633</v>
      </c>
      <c r="C17" s="109">
        <v>732633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17</v>
      </c>
      <c r="B18" s="109">
        <v>1133837</v>
      </c>
      <c r="C18" s="109">
        <v>928837</v>
      </c>
      <c r="D18" s="109">
        <v>205000</v>
      </c>
      <c r="E18" s="109">
        <v>0</v>
      </c>
      <c r="F18" s="137">
        <f t="shared" si="0"/>
        <v>0</v>
      </c>
    </row>
    <row r="19" spans="1:6" ht="18" customHeight="1">
      <c r="A19" s="115" t="s">
        <v>62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18</v>
      </c>
      <c r="B20" s="109">
        <v>994288</v>
      </c>
      <c r="C20" s="109">
        <v>994288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19</v>
      </c>
      <c r="B21" s="109">
        <v>10466186</v>
      </c>
      <c r="C21" s="109">
        <v>10346186</v>
      </c>
      <c r="D21" s="109">
        <v>120000</v>
      </c>
      <c r="E21" s="109">
        <v>0</v>
      </c>
      <c r="F21" s="137">
        <f t="shared" si="0"/>
        <v>0</v>
      </c>
    </row>
    <row r="22" spans="1:6" ht="18" customHeight="1">
      <c r="A22" s="115" t="s">
        <v>50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20</v>
      </c>
      <c r="B23" s="109">
        <v>15577174</v>
      </c>
      <c r="C23" s="109">
        <v>15577174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21</v>
      </c>
      <c r="B24" s="109">
        <v>610528</v>
      </c>
      <c r="C24" s="109">
        <v>610528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22</v>
      </c>
      <c r="B25" s="109">
        <v>313986</v>
      </c>
      <c r="C25" s="109">
        <v>313986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23</v>
      </c>
      <c r="B26" s="109">
        <v>52331</v>
      </c>
      <c r="C26" s="109">
        <v>52331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24</v>
      </c>
      <c r="B27" s="109">
        <v>313986</v>
      </c>
      <c r="C27" s="109">
        <v>313986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25</v>
      </c>
      <c r="B28" s="109">
        <v>401204</v>
      </c>
      <c r="C28" s="109">
        <v>401204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26</v>
      </c>
      <c r="B29" s="109">
        <v>7483323</v>
      </c>
      <c r="C29" s="109">
        <v>7483323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64</v>
      </c>
      <c r="B30" s="109">
        <v>21717336</v>
      </c>
      <c r="C30" s="109">
        <v>21717336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51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52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27</v>
      </c>
      <c r="B33" s="109">
        <v>17444</v>
      </c>
      <c r="C33" s="109">
        <v>17444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28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29</v>
      </c>
      <c r="B35" s="109">
        <v>104662</v>
      </c>
      <c r="C35" s="109">
        <v>104662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53</v>
      </c>
      <c r="B36" s="109">
        <v>0</v>
      </c>
      <c r="C36" s="109">
        <v>0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30</v>
      </c>
      <c r="B37" s="109">
        <v>17444</v>
      </c>
      <c r="C37" s="109">
        <v>17444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31</v>
      </c>
      <c r="B38" s="109">
        <v>2616547</v>
      </c>
      <c r="C38" s="109">
        <v>2616547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32</v>
      </c>
      <c r="B39" s="109">
        <v>418647</v>
      </c>
      <c r="C39" s="109">
        <v>418647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33</v>
      </c>
      <c r="B40" s="109">
        <v>959400</v>
      </c>
      <c r="C40" s="109">
        <v>959400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54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34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35</v>
      </c>
      <c r="B43" s="109">
        <v>348873</v>
      </c>
      <c r="C43" s="109">
        <v>348873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36</v>
      </c>
      <c r="B44" s="109">
        <v>11704685</v>
      </c>
      <c r="C44" s="109">
        <v>0</v>
      </c>
      <c r="D44" s="109">
        <v>0</v>
      </c>
      <c r="E44" s="109">
        <v>0</v>
      </c>
      <c r="F44" s="137">
        <f t="shared" si="1"/>
        <v>11704685</v>
      </c>
    </row>
    <row r="45" spans="1:6" ht="18" customHeight="1">
      <c r="A45" s="115" t="s">
        <v>55</v>
      </c>
      <c r="B45" s="109">
        <v>0</v>
      </c>
      <c r="C45" s="109">
        <v>0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37</v>
      </c>
      <c r="B46" s="109">
        <v>226767</v>
      </c>
      <c r="C46" s="109">
        <v>226767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56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57</v>
      </c>
      <c r="B48" s="109">
        <v>715189</v>
      </c>
      <c r="C48" s="109">
        <v>715189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38</v>
      </c>
      <c r="B49" s="109">
        <v>3453841</v>
      </c>
      <c r="C49" s="109">
        <v>3453841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39</v>
      </c>
      <c r="B50" s="109">
        <v>1936244</v>
      </c>
      <c r="C50" s="109">
        <v>1936244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40</v>
      </c>
      <c r="B51" s="109">
        <v>1936244</v>
      </c>
      <c r="C51" s="109">
        <v>1936244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41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42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43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58</v>
      </c>
      <c r="B55" s="109">
        <v>0</v>
      </c>
      <c r="C55" s="109">
        <v>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44</v>
      </c>
      <c r="B56" s="109">
        <v>8756709</v>
      </c>
      <c r="C56" s="109">
        <v>8756709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45</v>
      </c>
      <c r="B57" s="109">
        <v>37916667</v>
      </c>
      <c r="C57" s="109">
        <v>35070365</v>
      </c>
      <c r="D57" s="109">
        <v>2846302</v>
      </c>
      <c r="E57" s="109">
        <v>0</v>
      </c>
      <c r="F57" s="137">
        <f t="shared" si="1"/>
        <v>0</v>
      </c>
    </row>
    <row r="58" spans="1:6" ht="18" customHeight="1" thickBot="1">
      <c r="A58" s="117" t="s">
        <v>46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2</v>
      </c>
      <c r="B59" s="139">
        <f>SUM(B8:B58)</f>
        <v>142404091</v>
      </c>
      <c r="C59" s="139">
        <f>SUM(C8:C58)</f>
        <v>127357208</v>
      </c>
      <c r="D59" s="139">
        <f>SUM(D8:D58)</f>
        <v>3342198</v>
      </c>
      <c r="E59" s="139">
        <f>SUM(E8:E58)</f>
        <v>0</v>
      </c>
      <c r="F59" s="140">
        <f>SUM(F8:F58)</f>
        <v>11704685</v>
      </c>
    </row>
    <row r="60" spans="1:6" ht="15.75" customHeight="1">
      <c r="A60" s="141"/>
      <c r="B60" s="112"/>
      <c r="C60" s="112"/>
      <c r="D60" s="112"/>
      <c r="E60" s="112"/>
      <c r="F60" s="112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90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</v>
      </c>
      <c r="B4" s="6"/>
      <c r="C4" s="6"/>
      <c r="D4" s="6"/>
      <c r="E4" s="6"/>
      <c r="F4" s="6"/>
    </row>
    <row r="5" spans="1:6" s="2" customFormat="1" ht="19.5" customHeight="1">
      <c r="A5" s="119" t="s">
        <v>78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14" t="s">
        <v>10</v>
      </c>
      <c r="B8" s="108">
        <v>2633990</v>
      </c>
      <c r="C8" s="108">
        <v>2567190</v>
      </c>
      <c r="D8" s="108">
        <v>66800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65</v>
      </c>
      <c r="B9" s="109">
        <v>1308273</v>
      </c>
      <c r="C9" s="109">
        <v>1308273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12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13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14</v>
      </c>
      <c r="B12" s="109">
        <v>1849026</v>
      </c>
      <c r="C12" s="109">
        <v>1849026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47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48</v>
      </c>
      <c r="B14" s="109">
        <v>226767</v>
      </c>
      <c r="C14" s="109">
        <v>226767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15</v>
      </c>
      <c r="B15" s="109">
        <v>5424973</v>
      </c>
      <c r="C15" s="109">
        <v>4888703</v>
      </c>
      <c r="D15" s="109">
        <v>536270</v>
      </c>
      <c r="E15" s="109">
        <v>0</v>
      </c>
      <c r="F15" s="137">
        <f t="shared" si="0"/>
        <v>0</v>
      </c>
    </row>
    <row r="16" spans="1:6" ht="18" customHeight="1">
      <c r="A16" s="115" t="s">
        <v>49</v>
      </c>
      <c r="B16" s="109">
        <v>34887</v>
      </c>
      <c r="C16" s="109">
        <v>34887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16</v>
      </c>
      <c r="B17" s="109">
        <v>732633</v>
      </c>
      <c r="C17" s="109">
        <v>732633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17</v>
      </c>
      <c r="B18" s="109">
        <v>1133837</v>
      </c>
      <c r="C18" s="109">
        <v>1133837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62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18</v>
      </c>
      <c r="B20" s="109">
        <v>994288</v>
      </c>
      <c r="C20" s="109">
        <v>994288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19</v>
      </c>
      <c r="B21" s="109">
        <v>10466186</v>
      </c>
      <c r="C21" s="109">
        <v>10222755</v>
      </c>
      <c r="D21" s="109">
        <v>243431</v>
      </c>
      <c r="E21" s="109">
        <v>0</v>
      </c>
      <c r="F21" s="137">
        <f t="shared" si="0"/>
        <v>0</v>
      </c>
    </row>
    <row r="22" spans="1:6" ht="18" customHeight="1">
      <c r="A22" s="115" t="s">
        <v>50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20</v>
      </c>
      <c r="B23" s="109">
        <v>15577174</v>
      </c>
      <c r="C23" s="109">
        <v>14240256</v>
      </c>
      <c r="D23" s="109">
        <v>1336918</v>
      </c>
      <c r="E23" s="109">
        <v>0</v>
      </c>
      <c r="F23" s="137">
        <f t="shared" si="0"/>
        <v>0</v>
      </c>
    </row>
    <row r="24" spans="1:6" ht="18" customHeight="1">
      <c r="A24" s="115" t="s">
        <v>21</v>
      </c>
      <c r="B24" s="109">
        <v>610528</v>
      </c>
      <c r="C24" s="109">
        <v>610528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22</v>
      </c>
      <c r="B25" s="109">
        <v>313986</v>
      </c>
      <c r="C25" s="109">
        <v>313986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23</v>
      </c>
      <c r="B26" s="109">
        <v>52331</v>
      </c>
      <c r="C26" s="109">
        <v>52331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24</v>
      </c>
      <c r="B27" s="109">
        <v>313986</v>
      </c>
      <c r="C27" s="109">
        <v>313986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25</v>
      </c>
      <c r="B28" s="109">
        <v>401204</v>
      </c>
      <c r="C28" s="109">
        <v>401204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26</v>
      </c>
      <c r="B29" s="109">
        <v>7483323</v>
      </c>
      <c r="C29" s="109">
        <v>7483323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64</v>
      </c>
      <c r="B30" s="109">
        <v>21717336</v>
      </c>
      <c r="C30" s="109">
        <v>21717336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51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52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27</v>
      </c>
      <c r="B33" s="109">
        <v>17444</v>
      </c>
      <c r="C33" s="109">
        <v>17444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28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29</v>
      </c>
      <c r="B35" s="109">
        <v>104662</v>
      </c>
      <c r="C35" s="109">
        <v>104662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53</v>
      </c>
      <c r="B36" s="109">
        <v>0</v>
      </c>
      <c r="C36" s="109">
        <v>0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30</v>
      </c>
      <c r="B37" s="109">
        <v>17444</v>
      </c>
      <c r="C37" s="109">
        <v>17444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31</v>
      </c>
      <c r="B38" s="109">
        <v>2616547</v>
      </c>
      <c r="C38" s="109">
        <v>2616547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32</v>
      </c>
      <c r="B39" s="109">
        <v>418647</v>
      </c>
      <c r="C39" s="109">
        <v>418647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33</v>
      </c>
      <c r="B40" s="109">
        <v>959400</v>
      </c>
      <c r="C40" s="109">
        <v>959400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54</v>
      </c>
      <c r="B41" s="109">
        <v>16915</v>
      </c>
      <c r="C41" s="109">
        <v>16915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34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35</v>
      </c>
      <c r="B43" s="109">
        <v>348873</v>
      </c>
      <c r="C43" s="109">
        <v>348873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36</v>
      </c>
      <c r="B44" s="109">
        <v>11704685</v>
      </c>
      <c r="C44" s="109">
        <v>0</v>
      </c>
      <c r="D44" s="109">
        <v>0</v>
      </c>
      <c r="E44" s="109">
        <v>0</v>
      </c>
      <c r="F44" s="137">
        <f t="shared" si="1"/>
        <v>11704685</v>
      </c>
    </row>
    <row r="45" spans="1:6" ht="18" customHeight="1">
      <c r="A45" s="115" t="s">
        <v>55</v>
      </c>
      <c r="B45" s="109">
        <v>209324</v>
      </c>
      <c r="C45" s="109">
        <v>169324</v>
      </c>
      <c r="D45" s="109">
        <v>40000</v>
      </c>
      <c r="E45" s="109">
        <v>0</v>
      </c>
      <c r="F45" s="137">
        <f t="shared" si="1"/>
        <v>0</v>
      </c>
    </row>
    <row r="46" spans="1:6" ht="18" customHeight="1">
      <c r="A46" s="114" t="s">
        <v>37</v>
      </c>
      <c r="B46" s="109">
        <v>226767</v>
      </c>
      <c r="C46" s="109">
        <v>226767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56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57</v>
      </c>
      <c r="B48" s="109">
        <v>715189</v>
      </c>
      <c r="C48" s="109">
        <v>685189</v>
      </c>
      <c r="D48" s="109">
        <v>30000</v>
      </c>
      <c r="E48" s="109">
        <v>0</v>
      </c>
      <c r="F48" s="137">
        <f t="shared" si="1"/>
        <v>0</v>
      </c>
    </row>
    <row r="49" spans="1:6" ht="18" customHeight="1">
      <c r="A49" s="115" t="s">
        <v>38</v>
      </c>
      <c r="B49" s="109">
        <v>3453841</v>
      </c>
      <c r="C49" s="109">
        <v>3453841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39</v>
      </c>
      <c r="B50" s="109">
        <v>1936244</v>
      </c>
      <c r="C50" s="109">
        <v>1936244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40</v>
      </c>
      <c r="B51" s="109">
        <v>1936244</v>
      </c>
      <c r="C51" s="109">
        <v>1936244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41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42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43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58</v>
      </c>
      <c r="B55" s="109">
        <v>0</v>
      </c>
      <c r="C55" s="109">
        <v>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44</v>
      </c>
      <c r="B56" s="109">
        <v>8756709</v>
      </c>
      <c r="C56" s="109">
        <v>8756709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45</v>
      </c>
      <c r="B57" s="109">
        <v>37916667</v>
      </c>
      <c r="C57" s="109">
        <v>35339184</v>
      </c>
      <c r="D57" s="109">
        <v>2577483</v>
      </c>
      <c r="E57" s="109">
        <v>0</v>
      </c>
      <c r="F57" s="137">
        <f t="shared" si="1"/>
        <v>0</v>
      </c>
    </row>
    <row r="58" spans="1:6" ht="18" customHeight="1" thickBot="1">
      <c r="A58" s="117" t="s">
        <v>46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21" customHeight="1" thickBot="1">
      <c r="A59" s="138" t="s">
        <v>2</v>
      </c>
      <c r="B59" s="139">
        <f>SUM(B8:B58)</f>
        <v>142630330</v>
      </c>
      <c r="C59" s="139">
        <f>SUM(C8:C58)</f>
        <v>126094743</v>
      </c>
      <c r="D59" s="139">
        <f>SUM(D8:D58)</f>
        <v>4830902</v>
      </c>
      <c r="E59" s="139">
        <f>SUM(E8:E58)</f>
        <v>0</v>
      </c>
      <c r="F59" s="140">
        <f>SUM(F8:F58)</f>
        <v>11704685</v>
      </c>
    </row>
    <row r="60" spans="1:6" ht="15.75" customHeight="1">
      <c r="A60" s="141"/>
      <c r="B60" s="141"/>
      <c r="C60" s="141"/>
      <c r="D60" s="141"/>
      <c r="E60" s="141"/>
      <c r="F60" s="141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9"/>
  <dimension ref="A1:F61"/>
  <sheetViews>
    <sheetView zoomScale="75" zoomScaleNormal="75" workbookViewId="0" topLeftCell="A6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82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</v>
      </c>
      <c r="B4" s="6"/>
      <c r="C4" s="6"/>
      <c r="D4" s="6"/>
      <c r="E4" s="6"/>
      <c r="F4" s="6"/>
    </row>
    <row r="5" spans="1:6" s="2" customFormat="1" ht="19.5" customHeight="1">
      <c r="A5" s="119" t="s">
        <v>77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14" t="s">
        <v>10</v>
      </c>
      <c r="B8" s="108">
        <v>2011867</v>
      </c>
      <c r="C8" s="108">
        <v>2011867</v>
      </c>
      <c r="D8" s="108">
        <v>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65</v>
      </c>
      <c r="B9" s="109">
        <v>999272</v>
      </c>
      <c r="C9" s="109">
        <v>999272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12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13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14</v>
      </c>
      <c r="B12" s="109">
        <v>1412304</v>
      </c>
      <c r="C12" s="109">
        <v>1412304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47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48</v>
      </c>
      <c r="B14" s="109">
        <v>173207</v>
      </c>
      <c r="C14" s="109">
        <v>173207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15</v>
      </c>
      <c r="B15" s="109">
        <v>4143646</v>
      </c>
      <c r="C15" s="109">
        <v>3527704</v>
      </c>
      <c r="D15" s="109">
        <f>615942+33558</f>
        <v>649500</v>
      </c>
      <c r="E15" s="109">
        <v>0</v>
      </c>
      <c r="F15" s="137">
        <f t="shared" si="0"/>
        <v>-33558</v>
      </c>
    </row>
    <row r="16" spans="1:6" ht="18" customHeight="1">
      <c r="A16" s="115" t="s">
        <v>49</v>
      </c>
      <c r="B16" s="109">
        <v>26647</v>
      </c>
      <c r="C16" s="109">
        <v>26647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16</v>
      </c>
      <c r="B17" s="109">
        <v>559592</v>
      </c>
      <c r="C17" s="109">
        <v>559592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17</v>
      </c>
      <c r="B18" s="109">
        <v>866035</v>
      </c>
      <c r="C18" s="109">
        <v>866035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62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18</v>
      </c>
      <c r="B20" s="109">
        <v>759446</v>
      </c>
      <c r="C20" s="109">
        <v>759446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19</v>
      </c>
      <c r="B21" s="109">
        <v>7994173</v>
      </c>
      <c r="C21" s="109">
        <v>7994173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50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20</v>
      </c>
      <c r="B23" s="109">
        <v>11897994</v>
      </c>
      <c r="C23" s="109">
        <v>11897994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21</v>
      </c>
      <c r="B24" s="109">
        <v>466327</v>
      </c>
      <c r="C24" s="109">
        <v>466327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22</v>
      </c>
      <c r="B25" s="109">
        <v>239825</v>
      </c>
      <c r="C25" s="109">
        <v>239825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23</v>
      </c>
      <c r="B26" s="109">
        <v>39971</v>
      </c>
      <c r="C26" s="109">
        <v>39971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24</v>
      </c>
      <c r="B27" s="109">
        <v>239825</v>
      </c>
      <c r="C27" s="109">
        <v>239825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25</v>
      </c>
      <c r="B28" s="109">
        <v>306443</v>
      </c>
      <c r="C28" s="109">
        <v>306443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26</v>
      </c>
      <c r="B29" s="109">
        <v>5715834</v>
      </c>
      <c r="C29" s="109">
        <v>5715834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64</v>
      </c>
      <c r="B30" s="109">
        <v>16587909</v>
      </c>
      <c r="C30" s="109">
        <v>16587909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51</v>
      </c>
      <c r="B31" s="109">
        <v>286549</v>
      </c>
      <c r="C31" s="109">
        <v>286549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52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27</v>
      </c>
      <c r="B33" s="109">
        <v>13324</v>
      </c>
      <c r="C33" s="109">
        <v>13324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28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29</v>
      </c>
      <c r="B35" s="109">
        <v>79942</v>
      </c>
      <c r="C35" s="109">
        <v>79942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53</v>
      </c>
      <c r="B36" s="109">
        <v>13324</v>
      </c>
      <c r="C36" s="109">
        <v>13324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30</v>
      </c>
      <c r="B37" s="109">
        <v>7483</v>
      </c>
      <c r="C37" s="109">
        <v>7483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31</v>
      </c>
      <c r="B38" s="109">
        <v>1998543</v>
      </c>
      <c r="C38" s="109">
        <v>1998543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32</v>
      </c>
      <c r="B39" s="109">
        <v>319767</v>
      </c>
      <c r="C39" s="109">
        <v>319767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33</v>
      </c>
      <c r="B40" s="109">
        <v>732799</v>
      </c>
      <c r="C40" s="109">
        <v>732799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54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34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35</v>
      </c>
      <c r="B43" s="109">
        <v>266472</v>
      </c>
      <c r="C43" s="109">
        <v>266472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36</v>
      </c>
      <c r="B44" s="109">
        <v>8940150</v>
      </c>
      <c r="C44" s="109">
        <v>0</v>
      </c>
      <c r="D44" s="109">
        <v>0</v>
      </c>
      <c r="E44" s="109">
        <v>0</v>
      </c>
      <c r="F44" s="137">
        <f t="shared" si="1"/>
        <v>8940150</v>
      </c>
    </row>
    <row r="45" spans="1:6" ht="18" customHeight="1">
      <c r="A45" s="115" t="s">
        <v>55</v>
      </c>
      <c r="B45" s="109">
        <v>159883</v>
      </c>
      <c r="C45" s="109">
        <v>127907</v>
      </c>
      <c r="D45" s="109">
        <v>31976</v>
      </c>
      <c r="E45" s="109">
        <v>0</v>
      </c>
      <c r="F45" s="137">
        <f t="shared" si="1"/>
        <v>0</v>
      </c>
    </row>
    <row r="46" spans="1:6" ht="18" customHeight="1">
      <c r="A46" s="114" t="s">
        <v>37</v>
      </c>
      <c r="B46" s="109">
        <v>173207</v>
      </c>
      <c r="C46" s="109">
        <v>173207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56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57</v>
      </c>
      <c r="B48" s="109">
        <v>546268</v>
      </c>
      <c r="C48" s="109">
        <v>546268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38</v>
      </c>
      <c r="B49" s="109">
        <v>2638077</v>
      </c>
      <c r="C49" s="109">
        <v>2638077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39</v>
      </c>
      <c r="B50" s="109">
        <v>1478922</v>
      </c>
      <c r="C50" s="109">
        <v>1478922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40</v>
      </c>
      <c r="B51" s="109">
        <v>1545540</v>
      </c>
      <c r="C51" s="109">
        <v>1545540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41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42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43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58</v>
      </c>
      <c r="B55" s="109">
        <v>279796</v>
      </c>
      <c r="C55" s="109">
        <v>279796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44</v>
      </c>
      <c r="B56" s="109">
        <v>6668458</v>
      </c>
      <c r="C56" s="109">
        <v>6668458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45</v>
      </c>
      <c r="B57" s="109">
        <v>28334903</v>
      </c>
      <c r="C57" s="109">
        <v>27600793</v>
      </c>
      <c r="D57" s="109">
        <v>734110</v>
      </c>
      <c r="E57" s="109">
        <v>0</v>
      </c>
      <c r="F57" s="137">
        <f t="shared" si="1"/>
        <v>0</v>
      </c>
    </row>
    <row r="58" spans="1:6" ht="18" customHeight="1" thickBot="1">
      <c r="A58" s="117" t="s">
        <v>46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2</v>
      </c>
      <c r="B59" s="139">
        <f>SUM(B8:B58)</f>
        <v>108923724</v>
      </c>
      <c r="C59" s="139">
        <f>SUM(C8:C58)</f>
        <v>98601546</v>
      </c>
      <c r="D59" s="139">
        <f>SUM(D8:D58)</f>
        <v>1415586</v>
      </c>
      <c r="E59" s="139">
        <f>SUM(E8:E58)</f>
        <v>0</v>
      </c>
      <c r="F59" s="140">
        <f>SUM(F8:F58)</f>
        <v>8906592</v>
      </c>
    </row>
    <row r="60" spans="1:6" ht="15.75" customHeight="1">
      <c r="A60" s="141"/>
      <c r="B60" s="141"/>
      <c r="C60" s="141"/>
      <c r="D60" s="141"/>
      <c r="E60" s="141"/>
      <c r="F60" s="141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88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</v>
      </c>
      <c r="B4" s="6"/>
      <c r="C4" s="6"/>
      <c r="D4" s="6"/>
      <c r="E4" s="6"/>
      <c r="F4" s="6"/>
    </row>
    <row r="5" spans="1:6" s="2" customFormat="1" ht="19.5" customHeight="1">
      <c r="A5" s="119" t="s">
        <v>76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14" t="s">
        <v>10</v>
      </c>
      <c r="B8" s="108">
        <v>1326980</v>
      </c>
      <c r="C8" s="108">
        <v>1287689</v>
      </c>
      <c r="D8" s="108">
        <v>39291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65</v>
      </c>
      <c r="B9" s="109">
        <v>625456</v>
      </c>
      <c r="C9" s="109">
        <v>625456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12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13</v>
      </c>
      <c r="B11" s="109">
        <v>169180</v>
      </c>
      <c r="C11" s="109">
        <v>0</v>
      </c>
      <c r="D11" s="109">
        <v>0</v>
      </c>
      <c r="E11" s="109">
        <v>0</v>
      </c>
      <c r="F11" s="137">
        <f t="shared" si="0"/>
        <v>169180</v>
      </c>
    </row>
    <row r="12" spans="1:6" ht="18" customHeight="1">
      <c r="A12" s="115" t="s">
        <v>14</v>
      </c>
      <c r="B12" s="109">
        <v>988896</v>
      </c>
      <c r="C12" s="109">
        <v>988896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47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48</v>
      </c>
      <c r="B14" s="109">
        <v>126782</v>
      </c>
      <c r="C14" s="109">
        <v>126782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15</v>
      </c>
      <c r="B15" s="109">
        <v>2611699</v>
      </c>
      <c r="C15" s="109">
        <v>2611699</v>
      </c>
      <c r="D15" s="109">
        <v>0</v>
      </c>
      <c r="E15" s="109">
        <v>0</v>
      </c>
      <c r="F15" s="137">
        <f t="shared" si="0"/>
        <v>0</v>
      </c>
    </row>
    <row r="16" spans="1:6" ht="18" customHeight="1">
      <c r="A16" s="115" t="s">
        <v>49</v>
      </c>
      <c r="B16" s="109">
        <v>0</v>
      </c>
      <c r="C16" s="109">
        <v>0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16</v>
      </c>
      <c r="B17" s="109">
        <v>371892</v>
      </c>
      <c r="C17" s="109">
        <v>371892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17</v>
      </c>
      <c r="B18" s="109">
        <v>583195</v>
      </c>
      <c r="C18" s="109">
        <v>583195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62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18</v>
      </c>
      <c r="B20" s="109">
        <v>431057</v>
      </c>
      <c r="C20" s="109">
        <v>431057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19</v>
      </c>
      <c r="B21" s="109">
        <v>5282564</v>
      </c>
      <c r="C21" s="109">
        <v>5282564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50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20</v>
      </c>
      <c r="B23" s="109">
        <v>7911167</v>
      </c>
      <c r="C23" s="109">
        <v>7892789</v>
      </c>
      <c r="D23" s="109">
        <v>18378</v>
      </c>
      <c r="E23" s="109">
        <v>0</v>
      </c>
      <c r="F23" s="137">
        <f t="shared" si="0"/>
        <v>0</v>
      </c>
    </row>
    <row r="24" spans="1:6" ht="18" customHeight="1">
      <c r="A24" s="115" t="s">
        <v>21</v>
      </c>
      <c r="B24" s="109">
        <v>338084</v>
      </c>
      <c r="C24" s="109">
        <v>338084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22</v>
      </c>
      <c r="B25" s="109">
        <v>177494</v>
      </c>
      <c r="C25" s="109">
        <v>177494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23</v>
      </c>
      <c r="B26" s="109">
        <v>25356</v>
      </c>
      <c r="C26" s="109">
        <v>25356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24</v>
      </c>
      <c r="B27" s="109">
        <v>152138</v>
      </c>
      <c r="C27" s="109">
        <v>152138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25</v>
      </c>
      <c r="B28" s="109">
        <v>0</v>
      </c>
      <c r="C28" s="109">
        <v>0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26</v>
      </c>
      <c r="B29" s="109">
        <v>3372389</v>
      </c>
      <c r="C29" s="109">
        <v>3372389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64</v>
      </c>
      <c r="B30" s="109">
        <v>9618492</v>
      </c>
      <c r="C30" s="109">
        <v>9618492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51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52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27</v>
      </c>
      <c r="B33" s="109">
        <v>8452</v>
      </c>
      <c r="C33" s="109">
        <v>8452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28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29</v>
      </c>
      <c r="B35" s="109">
        <v>50713</v>
      </c>
      <c r="C35" s="109">
        <v>50713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53</v>
      </c>
      <c r="B36" s="109">
        <v>8452</v>
      </c>
      <c r="C36" s="109">
        <v>8452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30</v>
      </c>
      <c r="B37" s="109">
        <v>0</v>
      </c>
      <c r="C37" s="109">
        <v>0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31</v>
      </c>
      <c r="B38" s="109">
        <v>1394597</v>
      </c>
      <c r="C38" s="109">
        <v>1394597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32</v>
      </c>
      <c r="B39" s="109">
        <v>202850</v>
      </c>
      <c r="C39" s="109">
        <v>202850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33</v>
      </c>
      <c r="B40" s="109">
        <v>464866</v>
      </c>
      <c r="C40" s="109">
        <v>464866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54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34</v>
      </c>
      <c r="B42" s="109">
        <v>473318</v>
      </c>
      <c r="C42" s="109">
        <v>473318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35</v>
      </c>
      <c r="B43" s="109">
        <v>152138</v>
      </c>
      <c r="C43" s="109">
        <v>152138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36</v>
      </c>
      <c r="B44" s="109">
        <v>8443650</v>
      </c>
      <c r="C44" s="109">
        <v>0</v>
      </c>
      <c r="D44" s="109">
        <v>0</v>
      </c>
      <c r="E44" s="109">
        <v>0</v>
      </c>
      <c r="F44" s="137">
        <f t="shared" si="1"/>
        <v>8443650</v>
      </c>
    </row>
    <row r="45" spans="1:6" ht="18" customHeight="1">
      <c r="A45" s="115" t="s">
        <v>55</v>
      </c>
      <c r="B45" s="109">
        <v>92973</v>
      </c>
      <c r="C45" s="109">
        <v>92973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37</v>
      </c>
      <c r="B46" s="109">
        <v>185947</v>
      </c>
      <c r="C46" s="109">
        <v>185947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56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57</v>
      </c>
      <c r="B48" s="109">
        <v>380345</v>
      </c>
      <c r="C48" s="109">
        <v>380345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38</v>
      </c>
      <c r="B49" s="109">
        <v>1648160</v>
      </c>
      <c r="C49" s="109">
        <v>1648160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39</v>
      </c>
      <c r="B50" s="109">
        <v>1022704</v>
      </c>
      <c r="C50" s="109">
        <v>1022704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40</v>
      </c>
      <c r="B51" s="109">
        <v>912827</v>
      </c>
      <c r="C51" s="109">
        <v>912827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41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42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43</v>
      </c>
      <c r="B54" s="109">
        <v>640836</v>
      </c>
      <c r="C54" s="109">
        <v>1040</v>
      </c>
      <c r="D54" s="109">
        <v>0</v>
      </c>
      <c r="E54" s="109">
        <v>0</v>
      </c>
      <c r="F54" s="137">
        <f t="shared" si="1"/>
        <v>639796</v>
      </c>
    </row>
    <row r="55" spans="1:6" ht="18" customHeight="1">
      <c r="A55" s="115" t="s">
        <v>58</v>
      </c>
      <c r="B55" s="109">
        <v>160590</v>
      </c>
      <c r="C55" s="109">
        <v>160590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44</v>
      </c>
      <c r="B56" s="109">
        <v>4107721</v>
      </c>
      <c r="C56" s="109">
        <v>4107721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45</v>
      </c>
      <c r="B57" s="109">
        <v>18333333</v>
      </c>
      <c r="C57" s="109">
        <v>15440333</v>
      </c>
      <c r="D57" s="109">
        <v>2893000</v>
      </c>
      <c r="E57" s="109">
        <v>0</v>
      </c>
      <c r="F57" s="137">
        <f t="shared" si="1"/>
        <v>0</v>
      </c>
    </row>
    <row r="58" spans="1:6" ht="18" customHeight="1" thickBot="1">
      <c r="A58" s="117" t="s">
        <v>46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2</v>
      </c>
      <c r="B59" s="139">
        <f>SUM(B8:B58)</f>
        <v>72797293</v>
      </c>
      <c r="C59" s="139">
        <f>SUM(C8:C58)</f>
        <v>60593998</v>
      </c>
      <c r="D59" s="139">
        <f>SUM(D8:D58)</f>
        <v>2950669</v>
      </c>
      <c r="E59" s="139">
        <f>SUM(E8:E58)</f>
        <v>0</v>
      </c>
      <c r="F59" s="140">
        <f>SUM(F8:F58)</f>
        <v>9252626</v>
      </c>
    </row>
    <row r="60" spans="1:6" ht="15.75" customHeight="1">
      <c r="A60" s="141"/>
      <c r="B60" s="141" t="s">
        <v>0</v>
      </c>
      <c r="C60" s="141" t="s">
        <v>0</v>
      </c>
      <c r="D60" s="141" t="s">
        <v>0</v>
      </c>
      <c r="E60" s="141" t="s">
        <v>0</v>
      </c>
      <c r="F60" s="141" t="s">
        <v>0</v>
      </c>
    </row>
    <row r="61" spans="2:6" ht="15.75" customHeight="1"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89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</v>
      </c>
      <c r="B4" s="6"/>
      <c r="C4" s="6"/>
      <c r="D4" s="6"/>
      <c r="E4" s="6"/>
      <c r="F4" s="6"/>
    </row>
    <row r="5" spans="1:6" s="2" customFormat="1" ht="19.5" customHeight="1">
      <c r="A5" s="119" t="s">
        <v>75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status!$A$8</f>
        <v>Al 27 de marzo de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9</v>
      </c>
      <c r="B7" s="9" t="s">
        <v>60</v>
      </c>
      <c r="C7" s="9" t="s">
        <v>3</v>
      </c>
      <c r="D7" s="9" t="s">
        <v>4</v>
      </c>
      <c r="E7" s="9" t="s">
        <v>5</v>
      </c>
      <c r="F7" s="10" t="s">
        <v>61</v>
      </c>
    </row>
    <row r="8" spans="1:6" ht="18" customHeight="1">
      <c r="A8" s="114" t="s">
        <v>10</v>
      </c>
      <c r="B8" s="108">
        <v>985407</v>
      </c>
      <c r="C8" s="108">
        <v>985407</v>
      </c>
      <c r="D8" s="108">
        <v>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65</v>
      </c>
      <c r="B9" s="109">
        <v>464459</v>
      </c>
      <c r="C9" s="109">
        <v>464459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12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13</v>
      </c>
      <c r="B11" s="109">
        <v>107124</v>
      </c>
      <c r="C11" s="109">
        <v>0</v>
      </c>
      <c r="D11" s="109">
        <v>0</v>
      </c>
      <c r="E11" s="109">
        <v>0</v>
      </c>
      <c r="F11" s="137">
        <f t="shared" si="0"/>
        <v>107124</v>
      </c>
    </row>
    <row r="12" spans="1:6" ht="18" customHeight="1">
      <c r="A12" s="115" t="s">
        <v>14</v>
      </c>
      <c r="B12" s="109">
        <v>734348</v>
      </c>
      <c r="C12" s="109">
        <v>734348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47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48</v>
      </c>
      <c r="B14" s="109">
        <v>0</v>
      </c>
      <c r="C14" s="109">
        <v>0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15</v>
      </c>
      <c r="B15" s="109">
        <v>1939432</v>
      </c>
      <c r="C15" s="109">
        <v>1939432</v>
      </c>
      <c r="D15" s="109">
        <v>0</v>
      </c>
      <c r="E15" s="109">
        <v>0</v>
      </c>
      <c r="F15" s="137">
        <f t="shared" si="0"/>
        <v>0</v>
      </c>
    </row>
    <row r="16" spans="1:6" ht="18" customHeight="1">
      <c r="A16" s="115" t="s">
        <v>49</v>
      </c>
      <c r="B16" s="109">
        <v>0</v>
      </c>
      <c r="C16" s="109">
        <v>0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16</v>
      </c>
      <c r="B17" s="109">
        <v>0</v>
      </c>
      <c r="C17" s="109">
        <v>0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17</v>
      </c>
      <c r="B18" s="109">
        <v>433077</v>
      </c>
      <c r="C18" s="109">
        <v>433077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62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18</v>
      </c>
      <c r="B20" s="109">
        <v>320100</v>
      </c>
      <c r="C20" s="109">
        <v>320100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19</v>
      </c>
      <c r="B21" s="109">
        <v>3922799</v>
      </c>
      <c r="C21" s="109">
        <v>3922799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50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20</v>
      </c>
      <c r="B23" s="109">
        <v>5874784</v>
      </c>
      <c r="C23" s="109">
        <v>5874784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21</v>
      </c>
      <c r="B24" s="109">
        <v>251059</v>
      </c>
      <c r="C24" s="109">
        <v>251059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22</v>
      </c>
      <c r="B25" s="109">
        <v>131806</v>
      </c>
      <c r="C25" s="109">
        <v>131806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23</v>
      </c>
      <c r="B26" s="109">
        <v>18829</v>
      </c>
      <c r="C26" s="109">
        <v>18829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24</v>
      </c>
      <c r="B27" s="109">
        <v>112977</v>
      </c>
      <c r="C27" s="109">
        <v>112977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25</v>
      </c>
      <c r="B28" s="109">
        <v>0</v>
      </c>
      <c r="C28" s="109">
        <v>0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26</v>
      </c>
      <c r="B29" s="109">
        <v>2504315</v>
      </c>
      <c r="C29" s="109">
        <v>2504315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64</v>
      </c>
      <c r="B30" s="109">
        <v>7142633</v>
      </c>
      <c r="C30" s="109">
        <v>7142633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51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52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27</v>
      </c>
      <c r="B33" s="109">
        <v>6276</v>
      </c>
      <c r="C33" s="109">
        <v>6276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28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29</v>
      </c>
      <c r="B35" s="109">
        <v>37659</v>
      </c>
      <c r="C35" s="109">
        <v>37659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53</v>
      </c>
      <c r="B36" s="109">
        <v>6276</v>
      </c>
      <c r="C36" s="109">
        <v>6276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30</v>
      </c>
      <c r="B37" s="109">
        <v>0</v>
      </c>
      <c r="C37" s="109">
        <v>0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31</v>
      </c>
      <c r="B38" s="109">
        <v>1035619</v>
      </c>
      <c r="C38" s="109">
        <v>1035619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32</v>
      </c>
      <c r="B39" s="109">
        <v>150635</v>
      </c>
      <c r="C39" s="109">
        <v>150635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33</v>
      </c>
      <c r="B40" s="109">
        <v>345206</v>
      </c>
      <c r="C40" s="109">
        <v>345206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54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34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35</v>
      </c>
      <c r="B43" s="109">
        <v>112977</v>
      </c>
      <c r="C43" s="109">
        <v>112977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36</v>
      </c>
      <c r="B44" s="109">
        <v>6270202</v>
      </c>
      <c r="C44" s="109">
        <v>0</v>
      </c>
      <c r="D44" s="109">
        <v>0</v>
      </c>
      <c r="E44" s="109">
        <v>0</v>
      </c>
      <c r="F44" s="137">
        <f t="shared" si="1"/>
        <v>6270202</v>
      </c>
    </row>
    <row r="45" spans="1:6" ht="18" customHeight="1">
      <c r="A45" s="115" t="s">
        <v>55</v>
      </c>
      <c r="B45" s="109">
        <v>69041</v>
      </c>
      <c r="C45" s="109">
        <v>69041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37</v>
      </c>
      <c r="B46" s="109">
        <v>0</v>
      </c>
      <c r="C46" s="109">
        <v>0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56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57</v>
      </c>
      <c r="B48" s="109">
        <v>282442</v>
      </c>
      <c r="C48" s="109">
        <v>282442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38</v>
      </c>
      <c r="B49" s="109">
        <v>1223913</v>
      </c>
      <c r="C49" s="109">
        <v>1223913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39</v>
      </c>
      <c r="B50" s="109">
        <v>759454</v>
      </c>
      <c r="C50" s="109">
        <v>759454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40</v>
      </c>
      <c r="B51" s="109">
        <v>677860</v>
      </c>
      <c r="C51" s="109">
        <v>677860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41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42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43</v>
      </c>
      <c r="B54" s="109">
        <v>784560</v>
      </c>
      <c r="C54" s="109">
        <v>784560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58</v>
      </c>
      <c r="B55" s="109">
        <v>119253</v>
      </c>
      <c r="C55" s="109">
        <v>119253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44</v>
      </c>
      <c r="B56" s="109">
        <v>3050369</v>
      </c>
      <c r="C56" s="109">
        <v>3050369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45</v>
      </c>
      <c r="B57" s="109">
        <v>13333333</v>
      </c>
      <c r="C57" s="109">
        <v>13333333</v>
      </c>
      <c r="D57" s="109">
        <v>0</v>
      </c>
      <c r="E57" s="109">
        <v>0</v>
      </c>
      <c r="F57" s="137">
        <f t="shared" si="1"/>
        <v>0</v>
      </c>
    </row>
    <row r="58" spans="1:6" ht="18" customHeight="1" thickBot="1">
      <c r="A58" s="117" t="s">
        <v>46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2</v>
      </c>
      <c r="B59" s="139">
        <f>SUM(B8:B58)</f>
        <v>53208224</v>
      </c>
      <c r="C59" s="139">
        <f>SUM(C8:C58)</f>
        <v>46830898</v>
      </c>
      <c r="D59" s="139">
        <f>SUM(D8:D58)</f>
        <v>0</v>
      </c>
      <c r="E59" s="139">
        <f>SUM(E8:E58)</f>
        <v>0</v>
      </c>
      <c r="F59" s="140">
        <f>SUM(F8:F58)</f>
        <v>6377326</v>
      </c>
    </row>
    <row r="60" spans="1:6" ht="15.75" customHeight="1">
      <c r="A60" s="141"/>
      <c r="B60" s="141" t="s">
        <v>0</v>
      </c>
      <c r="C60" s="141" t="s">
        <v>0</v>
      </c>
      <c r="D60" s="141" t="s">
        <v>0</v>
      </c>
      <c r="E60" s="141" t="s">
        <v>0</v>
      </c>
      <c r="F60" s="141" t="s">
        <v>0</v>
      </c>
    </row>
    <row r="61" spans="2:6" ht="15.75" customHeight="1"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111">
    <tabColor indexed="34"/>
    <pageSetUpPr fitToPage="1"/>
  </sheetPr>
  <dimension ref="A1:G66"/>
  <sheetViews>
    <sheetView zoomScale="75" zoomScaleNormal="75" zoomScaleSheetLayoutView="50" workbookViewId="0" topLeftCell="A1">
      <selection activeCell="A67" sqref="A67"/>
    </sheetView>
  </sheetViews>
  <sheetFormatPr defaultColWidth="8.796875" defaultRowHeight="15"/>
  <cols>
    <col min="1" max="1" width="25.19921875" style="2" customWidth="1"/>
    <col min="2" max="2" width="13.8984375" style="2" customWidth="1"/>
    <col min="3" max="4" width="13" style="2" customWidth="1"/>
    <col min="5" max="5" width="14.19921875" style="2" customWidth="1"/>
    <col min="6" max="6" width="13.8984375" style="148" customWidth="1"/>
    <col min="7" max="7" width="20.19921875" style="199" customWidth="1"/>
    <col min="8" max="16384" width="8.8984375" style="2" customWidth="1"/>
  </cols>
  <sheetData>
    <row r="1" spans="1:7" ht="15.75" customHeight="1">
      <c r="A1" s="42"/>
      <c r="B1" s="47"/>
      <c r="G1" s="206" t="str">
        <f>status!$C$1</f>
        <v>UNEP/OzL.Pro/ExCom/57/L.1</v>
      </c>
    </row>
    <row r="2" spans="1:7" ht="15.75" customHeight="1">
      <c r="A2" s="42"/>
      <c r="B2" s="47"/>
      <c r="G2" s="206" t="s">
        <v>253</v>
      </c>
    </row>
    <row r="3" spans="2:7" ht="15.75" customHeight="1">
      <c r="B3" s="5"/>
      <c r="F3" s="146"/>
      <c r="G3" s="357" t="s">
        <v>250</v>
      </c>
    </row>
    <row r="4" spans="2:7" ht="15.75" customHeight="1">
      <c r="B4" s="5"/>
      <c r="F4" s="146"/>
      <c r="G4" s="4"/>
    </row>
    <row r="5" spans="1:7" ht="19.5" customHeight="1">
      <c r="A5" s="384" t="s">
        <v>125</v>
      </c>
      <c r="B5" s="384"/>
      <c r="C5" s="384"/>
      <c r="D5" s="384"/>
      <c r="E5" s="384"/>
      <c r="F5" s="384"/>
      <c r="G5" s="384"/>
    </row>
    <row r="6" spans="1:7" ht="19.5" customHeight="1">
      <c r="A6" s="386" t="s">
        <v>234</v>
      </c>
      <c r="B6" s="386"/>
      <c r="C6" s="386"/>
      <c r="D6" s="386"/>
      <c r="E6" s="386"/>
      <c r="F6" s="386"/>
      <c r="G6" s="386"/>
    </row>
    <row r="7" spans="1:7" s="345" customFormat="1" ht="24" customHeight="1" thickBot="1">
      <c r="A7" s="385" t="s">
        <v>238</v>
      </c>
      <c r="B7" s="385"/>
      <c r="C7" s="385"/>
      <c r="D7" s="385"/>
      <c r="E7" s="385"/>
      <c r="F7" s="385"/>
      <c r="G7" s="385"/>
    </row>
    <row r="8" spans="1:7" ht="49.5" customHeight="1" thickBot="1">
      <c r="A8" s="66" t="s">
        <v>216</v>
      </c>
      <c r="B8" s="9" t="s">
        <v>217</v>
      </c>
      <c r="C8" s="9" t="s">
        <v>156</v>
      </c>
      <c r="D8" s="9" t="s">
        <v>157</v>
      </c>
      <c r="E8" s="9" t="s">
        <v>158</v>
      </c>
      <c r="F8" s="296" t="s">
        <v>218</v>
      </c>
      <c r="G8" s="297" t="s">
        <v>219</v>
      </c>
    </row>
    <row r="9" spans="1:7" ht="18" customHeight="1" thickBot="1">
      <c r="A9" s="61" t="s">
        <v>174</v>
      </c>
      <c r="B9" s="295">
        <v>48100535.1</v>
      </c>
      <c r="C9" s="34">
        <v>46828627.93</v>
      </c>
      <c r="D9" s="34">
        <v>1271907</v>
      </c>
      <c r="E9" s="295">
        <v>0</v>
      </c>
      <c r="F9" s="342">
        <v>0.17000000178813934</v>
      </c>
      <c r="G9" s="294">
        <v>625324.786062787</v>
      </c>
    </row>
    <row r="10" spans="1:7" ht="18" customHeight="1" thickBot="1">
      <c r="A10" s="59" t="s">
        <v>11</v>
      </c>
      <c r="B10" s="22">
        <v>26949217.71</v>
      </c>
      <c r="C10" s="34">
        <v>25381594.130000003</v>
      </c>
      <c r="D10" s="34">
        <v>131790</v>
      </c>
      <c r="E10" s="22">
        <v>0</v>
      </c>
      <c r="F10" s="201">
        <v>1435833.58</v>
      </c>
      <c r="G10" s="294">
        <v>-1398077.204680851</v>
      </c>
    </row>
    <row r="11" spans="1:7" ht="18" customHeight="1" thickBot="1">
      <c r="A11" s="60" t="s">
        <v>175</v>
      </c>
      <c r="B11" s="22">
        <v>877647.5949468015</v>
      </c>
      <c r="C11" s="34">
        <v>311682.67</v>
      </c>
      <c r="D11" s="34">
        <v>0</v>
      </c>
      <c r="E11" s="22">
        <v>0</v>
      </c>
      <c r="F11" s="201">
        <v>565964.9249468015</v>
      </c>
      <c r="G11" s="294">
        <v>0</v>
      </c>
    </row>
    <row r="12" spans="1:7" ht="18" customHeight="1" thickBot="1">
      <c r="A12" s="59" t="s">
        <v>176</v>
      </c>
      <c r="B12" s="22">
        <v>2692897.77</v>
      </c>
      <c r="C12" s="34">
        <v>0</v>
      </c>
      <c r="D12" s="34">
        <v>0</v>
      </c>
      <c r="E12" s="22">
        <v>0</v>
      </c>
      <c r="F12" s="201">
        <v>2692897.77</v>
      </c>
      <c r="G12" s="294">
        <v>0</v>
      </c>
    </row>
    <row r="13" spans="1:7" ht="18" customHeight="1" thickBot="1">
      <c r="A13" s="59" t="s">
        <v>177</v>
      </c>
      <c r="B13" s="22">
        <v>33386048.389999993</v>
      </c>
      <c r="C13" s="34">
        <v>31602183.33</v>
      </c>
      <c r="D13" s="34">
        <v>0</v>
      </c>
      <c r="E13" s="22">
        <v>0</v>
      </c>
      <c r="F13" s="201">
        <v>1783865.059999995</v>
      </c>
      <c r="G13" s="294">
        <v>193941.14801481832</v>
      </c>
    </row>
    <row r="14" spans="1:7" ht="18" customHeight="1" thickBot="1">
      <c r="A14" s="59" t="s">
        <v>48</v>
      </c>
      <c r="B14" s="22">
        <v>1185199.9</v>
      </c>
      <c r="C14" s="34">
        <v>1152824.85</v>
      </c>
      <c r="D14" s="34">
        <v>0</v>
      </c>
      <c r="E14" s="22">
        <v>0</v>
      </c>
      <c r="F14" s="201">
        <v>32375.05</v>
      </c>
      <c r="G14" s="294">
        <v>0</v>
      </c>
    </row>
    <row r="15" spans="1:7" ht="18" customHeight="1" thickBot="1">
      <c r="A15" s="59" t="s">
        <v>178</v>
      </c>
      <c r="B15" s="22">
        <v>89673321.20999998</v>
      </c>
      <c r="C15" s="34">
        <v>75392076.65</v>
      </c>
      <c r="D15" s="34">
        <v>9400968</v>
      </c>
      <c r="E15" s="22">
        <v>0</v>
      </c>
      <c r="F15" s="201">
        <v>4880276.559999973</v>
      </c>
      <c r="G15" s="294">
        <v>-4585959.975283533</v>
      </c>
    </row>
    <row r="16" spans="1:7" ht="18" customHeight="1" thickBot="1">
      <c r="A16" s="59" t="s">
        <v>179</v>
      </c>
      <c r="B16" s="22">
        <v>415395.58</v>
      </c>
      <c r="C16" s="34">
        <v>344170.46</v>
      </c>
      <c r="D16" s="34">
        <v>0</v>
      </c>
      <c r="E16" s="22">
        <v>0</v>
      </c>
      <c r="F16" s="201">
        <v>71225.12</v>
      </c>
      <c r="G16" s="294">
        <v>0</v>
      </c>
    </row>
    <row r="17" spans="1:7" ht="18" customHeight="1" thickBot="1">
      <c r="A17" s="59" t="s">
        <v>180</v>
      </c>
      <c r="B17" s="22">
        <v>7153585.88</v>
      </c>
      <c r="C17" s="34">
        <v>7087495.54</v>
      </c>
      <c r="D17" s="34">
        <v>66090</v>
      </c>
      <c r="E17" s="22">
        <v>0</v>
      </c>
      <c r="F17" s="201">
        <v>0.3399999998509884</v>
      </c>
      <c r="G17" s="294">
        <v>90457.84310786007</v>
      </c>
    </row>
    <row r="18" spans="1:7" ht="18" customHeight="1" thickBot="1">
      <c r="A18" s="59" t="s">
        <v>181</v>
      </c>
      <c r="B18" s="22">
        <v>21973937.850000005</v>
      </c>
      <c r="C18" s="34">
        <v>20572679.360000007</v>
      </c>
      <c r="D18" s="34">
        <v>205000</v>
      </c>
      <c r="E18" s="22">
        <v>0</v>
      </c>
      <c r="F18" s="201">
        <v>1196258.49</v>
      </c>
      <c r="G18" s="294">
        <v>-1271723.623142421</v>
      </c>
    </row>
    <row r="19" spans="1:7" ht="18" customHeight="1" thickBot="1">
      <c r="A19" s="59" t="s">
        <v>62</v>
      </c>
      <c r="B19" s="22">
        <v>219062.72</v>
      </c>
      <c r="C19" s="34">
        <v>193162.22</v>
      </c>
      <c r="D19" s="34">
        <v>0</v>
      </c>
      <c r="E19" s="22">
        <v>0</v>
      </c>
      <c r="F19" s="201">
        <v>25900.5</v>
      </c>
      <c r="G19" s="294">
        <v>0</v>
      </c>
    </row>
    <row r="20" spans="1:7" ht="18" customHeight="1" thickBot="1">
      <c r="A20" s="59" t="s">
        <v>182</v>
      </c>
      <c r="B20" s="22">
        <v>17318498.98</v>
      </c>
      <c r="C20" s="34">
        <v>15953652.25</v>
      </c>
      <c r="D20" s="34">
        <v>451870</v>
      </c>
      <c r="E20" s="22">
        <v>0</v>
      </c>
      <c r="F20" s="201">
        <v>912976.73</v>
      </c>
      <c r="G20" s="294">
        <v>-998219.6715650848</v>
      </c>
    </row>
    <row r="21" spans="1:7" ht="18" customHeight="1" thickBot="1">
      <c r="A21" s="59" t="s">
        <v>183</v>
      </c>
      <c r="B21" s="22">
        <v>194764331.09000003</v>
      </c>
      <c r="C21" s="34">
        <v>159478978.69</v>
      </c>
      <c r="D21" s="34">
        <v>15937529</v>
      </c>
      <c r="E21" s="22">
        <v>9148063.43</v>
      </c>
      <c r="F21" s="201">
        <v>10199759.970000036</v>
      </c>
      <c r="G21" s="294">
        <v>-15656955.388041852</v>
      </c>
    </row>
    <row r="22" spans="1:7" ht="18" customHeight="1" thickBot="1">
      <c r="A22" s="59" t="s">
        <v>184</v>
      </c>
      <c r="B22" s="22">
        <v>285593297.55</v>
      </c>
      <c r="C22" s="34">
        <v>216021483.26</v>
      </c>
      <c r="D22" s="34">
        <v>41210317</v>
      </c>
      <c r="E22" s="22">
        <v>14473718.599999998</v>
      </c>
      <c r="F22" s="201">
        <v>13887778.690000024</v>
      </c>
      <c r="G22" s="294">
        <v>-2469867.4480069475</v>
      </c>
    </row>
    <row r="23" spans="1:7" ht="18" customHeight="1" thickBot="1">
      <c r="A23" s="59" t="s">
        <v>185</v>
      </c>
      <c r="B23" s="22">
        <v>13548016.950000001</v>
      </c>
      <c r="C23" s="34">
        <v>11055928.79</v>
      </c>
      <c r="D23" s="34">
        <v>0</v>
      </c>
      <c r="E23" s="22">
        <v>0</v>
      </c>
      <c r="F23" s="201">
        <v>2492088.16</v>
      </c>
      <c r="G23" s="294">
        <v>-1496005.1735451086</v>
      </c>
    </row>
    <row r="24" spans="1:7" ht="18" customHeight="1" thickBot="1">
      <c r="A24" s="59" t="s">
        <v>186</v>
      </c>
      <c r="B24" s="22">
        <v>4519635.46</v>
      </c>
      <c r="C24" s="34">
        <v>4458165.85</v>
      </c>
      <c r="D24" s="34">
        <v>46494</v>
      </c>
      <c r="E24" s="22">
        <v>0</v>
      </c>
      <c r="F24" s="201">
        <v>14975.610000000335</v>
      </c>
      <c r="G24" s="294">
        <v>-76259.36854999996</v>
      </c>
    </row>
    <row r="25" spans="1:7" ht="18" customHeight="1" thickBot="1">
      <c r="A25" s="59" t="s">
        <v>187</v>
      </c>
      <c r="B25" s="22">
        <v>987764.23</v>
      </c>
      <c r="C25" s="34">
        <v>927870.38</v>
      </c>
      <c r="D25" s="34">
        <v>0</v>
      </c>
      <c r="E25" s="22">
        <v>0</v>
      </c>
      <c r="F25" s="201">
        <v>59893.85</v>
      </c>
      <c r="G25" s="294">
        <v>-32754.506799490126</v>
      </c>
    </row>
    <row r="26" spans="1:7" ht="18" customHeight="1" thickBot="1">
      <c r="A26" s="59" t="s">
        <v>188</v>
      </c>
      <c r="B26" s="22">
        <v>7968461.899999999</v>
      </c>
      <c r="C26" s="34">
        <v>7968461.7</v>
      </c>
      <c r="D26" s="34">
        <v>0</v>
      </c>
      <c r="E26" s="22">
        <v>0</v>
      </c>
      <c r="F26" s="201">
        <v>0.19999999925494194</v>
      </c>
      <c r="G26" s="294">
        <v>335943.58925912215</v>
      </c>
    </row>
    <row r="27" spans="1:7" ht="18" customHeight="1" thickBot="1">
      <c r="A27" s="59" t="s">
        <v>25</v>
      </c>
      <c r="B27" s="22">
        <v>10211327.68</v>
      </c>
      <c r="C27" s="34">
        <v>3724671</v>
      </c>
      <c r="D27" s="34">
        <v>152462</v>
      </c>
      <c r="E27" s="22">
        <v>0</v>
      </c>
      <c r="F27" s="201">
        <v>6334194.68</v>
      </c>
      <c r="G27" s="294">
        <v>0</v>
      </c>
    </row>
    <row r="28" spans="1:7" ht="18" customHeight="1" thickBot="1">
      <c r="A28" s="59" t="s">
        <v>189</v>
      </c>
      <c r="B28" s="22">
        <v>152115127.83</v>
      </c>
      <c r="C28" s="34">
        <v>129201449.69</v>
      </c>
      <c r="D28" s="34">
        <v>14581507</v>
      </c>
      <c r="E28" s="22">
        <v>0</v>
      </c>
      <c r="F28" s="201">
        <v>8332171.1400000155</v>
      </c>
      <c r="G28" s="294">
        <v>3291975.66744681</v>
      </c>
    </row>
    <row r="29" spans="1:7" ht="18" customHeight="1" thickBot="1">
      <c r="A29" s="59" t="s">
        <v>190</v>
      </c>
      <c r="B29" s="22">
        <v>503279088.6700001</v>
      </c>
      <c r="C29" s="34">
        <v>454494515.54</v>
      </c>
      <c r="D29" s="34">
        <v>16298223.469999999</v>
      </c>
      <c r="E29" s="22">
        <v>0</v>
      </c>
      <c r="F29" s="201">
        <v>32486349.660000056</v>
      </c>
      <c r="G29" s="294">
        <v>0</v>
      </c>
    </row>
    <row r="30" spans="1:7" ht="18" customHeight="1" thickBot="1">
      <c r="A30" s="59" t="s">
        <v>51</v>
      </c>
      <c r="B30" s="22">
        <v>286549</v>
      </c>
      <c r="C30" s="34">
        <v>286549</v>
      </c>
      <c r="D30" s="34">
        <v>0</v>
      </c>
      <c r="E30" s="22">
        <v>0</v>
      </c>
      <c r="F30" s="201">
        <v>0</v>
      </c>
      <c r="G30" s="294">
        <v>0</v>
      </c>
    </row>
    <row r="31" spans="1:7" ht="18" customHeight="1" thickBot="1">
      <c r="A31" s="59" t="s">
        <v>191</v>
      </c>
      <c r="B31" s="22">
        <v>421694.72</v>
      </c>
      <c r="C31" s="34">
        <v>392556.71</v>
      </c>
      <c r="D31" s="34">
        <v>0</v>
      </c>
      <c r="E31" s="22">
        <v>0</v>
      </c>
      <c r="F31" s="201">
        <v>29138.01</v>
      </c>
      <c r="G31" s="294">
        <v>-2482.655527299936</v>
      </c>
    </row>
    <row r="32" spans="1:7" ht="18" customHeight="1" thickBot="1">
      <c r="A32" s="59" t="s">
        <v>27</v>
      </c>
      <c r="B32" s="22">
        <v>241464.71</v>
      </c>
      <c r="C32" s="34">
        <v>241464.37</v>
      </c>
      <c r="D32" s="34">
        <v>0</v>
      </c>
      <c r="E32" s="22">
        <v>0</v>
      </c>
      <c r="F32" s="201">
        <v>0.34000000002561137</v>
      </c>
      <c r="G32" s="294">
        <v>0</v>
      </c>
    </row>
    <row r="33" spans="1:7" ht="18" customHeight="1" thickBot="1">
      <c r="A33" s="59" t="s">
        <v>192</v>
      </c>
      <c r="B33" s="22">
        <v>638328.68</v>
      </c>
      <c r="C33" s="34">
        <v>55077.88</v>
      </c>
      <c r="D33" s="34">
        <v>0</v>
      </c>
      <c r="E33" s="22">
        <v>0</v>
      </c>
      <c r="F33" s="201">
        <v>583250.8</v>
      </c>
      <c r="G33" s="294">
        <v>0</v>
      </c>
    </row>
    <row r="34" spans="1:7" ht="18" customHeight="1" thickBot="1">
      <c r="A34" s="59" t="s">
        <v>193</v>
      </c>
      <c r="B34" s="22">
        <v>2211784.56</v>
      </c>
      <c r="C34" s="34">
        <v>2211784.56</v>
      </c>
      <c r="D34" s="34">
        <v>0</v>
      </c>
      <c r="E34" s="22">
        <v>0</v>
      </c>
      <c r="F34" s="201">
        <v>0</v>
      </c>
      <c r="G34" s="294">
        <v>-109316.44479858772</v>
      </c>
    </row>
    <row r="35" spans="1:7" ht="18" customHeight="1" thickBot="1">
      <c r="A35" s="59" t="s">
        <v>53</v>
      </c>
      <c r="B35" s="22">
        <v>125750.45</v>
      </c>
      <c r="C35" s="34">
        <v>51445.22</v>
      </c>
      <c r="D35" s="34">
        <v>0</v>
      </c>
      <c r="E35" s="22">
        <v>0</v>
      </c>
      <c r="F35" s="201">
        <v>74305.23</v>
      </c>
      <c r="G35" s="294">
        <v>0</v>
      </c>
    </row>
    <row r="36" spans="1:7" ht="18" customHeight="1" thickBot="1">
      <c r="A36" s="59" t="s">
        <v>194</v>
      </c>
      <c r="B36" s="22">
        <v>177961.42</v>
      </c>
      <c r="C36" s="34">
        <v>177961.42</v>
      </c>
      <c r="D36" s="34">
        <v>0</v>
      </c>
      <c r="E36" s="22">
        <v>0</v>
      </c>
      <c r="F36" s="201">
        <v>0</v>
      </c>
      <c r="G36" s="294">
        <v>-1387.774095309007</v>
      </c>
    </row>
    <row r="37" spans="1:7" ht="18" customHeight="1" thickBot="1">
      <c r="A37" s="59" t="s">
        <v>195</v>
      </c>
      <c r="B37" s="22">
        <v>50968898.64000001</v>
      </c>
      <c r="C37" s="34">
        <v>47936974.97</v>
      </c>
      <c r="D37" s="34">
        <v>0</v>
      </c>
      <c r="E37" s="22">
        <v>0</v>
      </c>
      <c r="F37" s="201">
        <v>3031923.6700000092</v>
      </c>
      <c r="G37" s="294">
        <v>-1E-06</v>
      </c>
    </row>
    <row r="38" spans="1:7" ht="18" customHeight="1" thickBot="1">
      <c r="A38" s="59" t="s">
        <v>196</v>
      </c>
      <c r="B38" s="22">
        <v>7284806.16</v>
      </c>
      <c r="C38" s="34">
        <v>6870405.09</v>
      </c>
      <c r="D38" s="34">
        <v>0</v>
      </c>
      <c r="E38" s="22">
        <v>0</v>
      </c>
      <c r="F38" s="201">
        <v>414401.07</v>
      </c>
      <c r="G38" s="294">
        <v>68428.21213903741</v>
      </c>
    </row>
    <row r="39" spans="1:7" ht="18" customHeight="1" thickBot="1">
      <c r="A39" s="59" t="s">
        <v>197</v>
      </c>
      <c r="B39" s="22">
        <v>19016556.87</v>
      </c>
      <c r="C39" s="34">
        <v>19016556.53</v>
      </c>
      <c r="D39" s="34">
        <v>0</v>
      </c>
      <c r="E39" s="22">
        <v>0</v>
      </c>
      <c r="F39" s="201">
        <v>0.3399999998509884</v>
      </c>
      <c r="G39" s="294">
        <v>17242.3428079288</v>
      </c>
    </row>
    <row r="40" spans="1:7" ht="18" customHeight="1" thickBot="1">
      <c r="A40" s="59" t="s">
        <v>198</v>
      </c>
      <c r="B40" s="22">
        <v>16915</v>
      </c>
      <c r="C40" s="34">
        <v>16915</v>
      </c>
      <c r="D40" s="34">
        <v>0</v>
      </c>
      <c r="E40" s="22">
        <v>0</v>
      </c>
      <c r="F40" s="201">
        <v>0</v>
      </c>
      <c r="G40" s="294">
        <v>0</v>
      </c>
    </row>
    <row r="41" spans="1:7" ht="18" customHeight="1" thickBot="1">
      <c r="A41" s="59" t="s">
        <v>199</v>
      </c>
      <c r="B41" s="22">
        <v>8336016.209999999</v>
      </c>
      <c r="C41" s="34">
        <v>7066002.169999999</v>
      </c>
      <c r="D41" s="34">
        <v>113000</v>
      </c>
      <c r="E41" s="22">
        <v>0</v>
      </c>
      <c r="F41" s="201">
        <v>1157014.04</v>
      </c>
      <c r="G41" s="294">
        <v>0</v>
      </c>
    </row>
    <row r="42" spans="1:7" ht="18" customHeight="1" thickBot="1">
      <c r="A42" s="59" t="s">
        <v>35</v>
      </c>
      <c r="B42" s="22">
        <v>11214522.58</v>
      </c>
      <c r="C42" s="34">
        <v>8775617.93</v>
      </c>
      <c r="D42" s="34">
        <v>101700</v>
      </c>
      <c r="E42" s="22">
        <v>0</v>
      </c>
      <c r="F42" s="201">
        <v>2337204.65</v>
      </c>
      <c r="G42" s="294">
        <v>198161.9263829789</v>
      </c>
    </row>
    <row r="43" spans="1:7" ht="18" customHeight="1" thickBot="1">
      <c r="A43" s="59" t="s">
        <v>200</v>
      </c>
      <c r="B43" s="22">
        <v>213435.03</v>
      </c>
      <c r="C43" s="34">
        <v>100122.35</v>
      </c>
      <c r="D43" s="34">
        <v>0</v>
      </c>
      <c r="E43" s="22">
        <v>0</v>
      </c>
      <c r="F43" s="201">
        <v>113312.68</v>
      </c>
      <c r="G43" s="294"/>
    </row>
    <row r="44" spans="1:7" ht="18" customHeight="1" thickBot="1">
      <c r="A44" s="59" t="s">
        <v>201</v>
      </c>
      <c r="B44" s="22">
        <v>101188721.41999999</v>
      </c>
      <c r="C44" s="34">
        <v>0</v>
      </c>
      <c r="D44" s="34">
        <v>0</v>
      </c>
      <c r="E44" s="22">
        <v>0</v>
      </c>
      <c r="F44" s="201">
        <v>101188721.41999999</v>
      </c>
      <c r="G44" s="294">
        <v>0</v>
      </c>
    </row>
    <row r="45" spans="1:7" ht="18" customHeight="1" thickBot="1">
      <c r="A45" s="59" t="s">
        <v>202</v>
      </c>
      <c r="B45" s="22">
        <v>531221</v>
      </c>
      <c r="C45" s="34">
        <v>459245</v>
      </c>
      <c r="D45" s="34">
        <v>71976</v>
      </c>
      <c r="E45" s="22">
        <v>0</v>
      </c>
      <c r="F45" s="201">
        <v>0</v>
      </c>
      <c r="G45" s="294">
        <v>0</v>
      </c>
    </row>
    <row r="46" spans="1:7" ht="18" customHeight="1" thickBot="1">
      <c r="A46" s="59" t="s">
        <v>203</v>
      </c>
      <c r="B46" s="22">
        <v>2212587.64</v>
      </c>
      <c r="C46" s="34">
        <v>2094083.63</v>
      </c>
      <c r="D46" s="34">
        <v>16523</v>
      </c>
      <c r="E46" s="22">
        <v>0</v>
      </c>
      <c r="F46" s="201">
        <v>101981.01</v>
      </c>
      <c r="G46" s="294">
        <v>0</v>
      </c>
    </row>
    <row r="47" spans="1:7" ht="18" customHeight="1" thickBot="1">
      <c r="A47" s="59" t="s">
        <v>204</v>
      </c>
      <c r="B47" s="22">
        <v>1094599.69</v>
      </c>
      <c r="C47" s="34">
        <v>1094599.57</v>
      </c>
      <c r="D47" s="34">
        <v>0</v>
      </c>
      <c r="E47" s="22">
        <v>0</v>
      </c>
      <c r="F47" s="201">
        <v>0.11999999964609742</v>
      </c>
      <c r="G47" s="294">
        <v>0</v>
      </c>
    </row>
    <row r="48" spans="1:7" ht="18" customHeight="1" thickBot="1">
      <c r="A48" s="59" t="s">
        <v>205</v>
      </c>
      <c r="B48" s="22">
        <v>3793691</v>
      </c>
      <c r="C48" s="34">
        <v>3763691</v>
      </c>
      <c r="D48" s="34">
        <v>30000</v>
      </c>
      <c r="E48" s="22">
        <v>0</v>
      </c>
      <c r="F48" s="201">
        <v>0</v>
      </c>
      <c r="G48" s="294">
        <v>0</v>
      </c>
    </row>
    <row r="49" spans="1:7" ht="18" customHeight="1" thickBot="1">
      <c r="A49" s="59" t="s">
        <v>206</v>
      </c>
      <c r="B49" s="22">
        <v>74635480.73</v>
      </c>
      <c r="C49" s="34">
        <v>68077178.99000001</v>
      </c>
      <c r="D49" s="34">
        <v>2318844</v>
      </c>
      <c r="E49" s="22">
        <v>0</v>
      </c>
      <c r="F49" s="201">
        <v>4239457.739999995</v>
      </c>
      <c r="G49" s="294">
        <v>-1462766.0080863717</v>
      </c>
    </row>
    <row r="50" spans="1:7" ht="18" customHeight="1" thickBot="1">
      <c r="A50" s="59" t="s">
        <v>207</v>
      </c>
      <c r="B50" s="22">
        <v>34186681.09</v>
      </c>
      <c r="C50" s="34">
        <v>30624620.330000002</v>
      </c>
      <c r="D50" s="34">
        <v>1828377</v>
      </c>
      <c r="E50" s="22">
        <v>0</v>
      </c>
      <c r="F50" s="201">
        <v>1733683.76</v>
      </c>
      <c r="G50" s="294">
        <v>-1181509.42921209</v>
      </c>
    </row>
    <row r="51" spans="1:7" ht="18" customHeight="1" thickBot="1">
      <c r="A51" s="59" t="s">
        <v>208</v>
      </c>
      <c r="B51" s="22">
        <v>37202921.73</v>
      </c>
      <c r="C51" s="34">
        <v>33321288.25</v>
      </c>
      <c r="D51" s="34">
        <v>1913230</v>
      </c>
      <c r="E51" s="22">
        <v>0</v>
      </c>
      <c r="F51" s="201">
        <v>1968403.48</v>
      </c>
      <c r="G51" s="294">
        <v>-1775248.858245116</v>
      </c>
    </row>
    <row r="52" spans="1:7" ht="18" customHeight="1" thickBot="1">
      <c r="A52" s="59" t="s">
        <v>209</v>
      </c>
      <c r="B52" s="22">
        <v>103266.48</v>
      </c>
      <c r="C52" s="34">
        <v>8686</v>
      </c>
      <c r="D52" s="34">
        <v>0</v>
      </c>
      <c r="E52" s="22">
        <v>0</v>
      </c>
      <c r="F52" s="201">
        <v>94580.48</v>
      </c>
      <c r="G52" s="294">
        <v>0</v>
      </c>
    </row>
    <row r="53" spans="1:7" ht="18" customHeight="1" thickBot="1">
      <c r="A53" s="59" t="s">
        <v>235</v>
      </c>
      <c r="B53" s="22">
        <v>293245.01</v>
      </c>
      <c r="C53" s="34">
        <v>5763.67</v>
      </c>
      <c r="D53" s="34">
        <v>0</v>
      </c>
      <c r="E53" s="22">
        <v>0</v>
      </c>
      <c r="F53" s="201">
        <v>287481.34</v>
      </c>
      <c r="G53" s="294">
        <v>0</v>
      </c>
    </row>
    <row r="54" spans="1:7" ht="18" customHeight="1" thickBot="1">
      <c r="A54" s="59" t="s">
        <v>210</v>
      </c>
      <c r="B54" s="22">
        <v>9072001.76</v>
      </c>
      <c r="C54" s="34">
        <v>1082925.27</v>
      </c>
      <c r="D54" s="34">
        <v>0</v>
      </c>
      <c r="E54" s="22">
        <v>0</v>
      </c>
      <c r="F54" s="201">
        <v>7989076.49</v>
      </c>
      <c r="G54" s="294">
        <v>0</v>
      </c>
    </row>
    <row r="55" spans="1:7" ht="18" customHeight="1" thickBot="1">
      <c r="A55" s="59" t="s">
        <v>211</v>
      </c>
      <c r="B55" s="22">
        <v>559639</v>
      </c>
      <c r="C55" s="34">
        <v>559639</v>
      </c>
      <c r="D55" s="34">
        <v>0</v>
      </c>
      <c r="E55" s="22">
        <v>0</v>
      </c>
      <c r="F55" s="201">
        <v>0</v>
      </c>
      <c r="G55" s="294">
        <v>0</v>
      </c>
    </row>
    <row r="56" spans="1:7" ht="18" customHeight="1" thickBot="1">
      <c r="A56" s="59" t="s">
        <v>212</v>
      </c>
      <c r="B56" s="22">
        <v>168592305.86999997</v>
      </c>
      <c r="C56" s="34">
        <v>157275551.32999998</v>
      </c>
      <c r="D56" s="34">
        <v>565000</v>
      </c>
      <c r="E56" s="22">
        <v>0</v>
      </c>
      <c r="F56" s="201">
        <v>10751754.539999992</v>
      </c>
      <c r="G56" s="294">
        <v>-9860478.70328706</v>
      </c>
    </row>
    <row r="57" spans="1:7" ht="18" customHeight="1" thickBot="1">
      <c r="A57" s="59" t="s">
        <v>213</v>
      </c>
      <c r="B57" s="22">
        <v>589083770.34</v>
      </c>
      <c r="C57" s="34">
        <v>522143489</v>
      </c>
      <c r="D57" s="34">
        <v>21567191</v>
      </c>
      <c r="E57" s="22">
        <v>4656500</v>
      </c>
      <c r="F57" s="201">
        <v>40716590.34000003</v>
      </c>
      <c r="G57" s="294">
        <v>0</v>
      </c>
    </row>
    <row r="58" spans="1:7" ht="18" customHeight="1" thickBot="1">
      <c r="A58" s="62" t="s">
        <v>214</v>
      </c>
      <c r="B58" s="295">
        <v>664704.03</v>
      </c>
      <c r="C58" s="34">
        <v>188606</v>
      </c>
      <c r="D58" s="34">
        <v>0</v>
      </c>
      <c r="E58" s="295">
        <v>0</v>
      </c>
      <c r="F58" s="342">
        <v>476098.03</v>
      </c>
      <c r="G58" s="294">
        <v>0</v>
      </c>
    </row>
    <row r="59" spans="1:7" ht="19.5" customHeight="1" thickBot="1">
      <c r="A59" s="63" t="s">
        <v>59</v>
      </c>
      <c r="B59" s="16">
        <v>2547301920.864948</v>
      </c>
      <c r="C59" s="16">
        <v>2126050474.53</v>
      </c>
      <c r="D59" s="16">
        <v>128279998.47</v>
      </c>
      <c r="E59" s="16">
        <v>28278282.029999997</v>
      </c>
      <c r="F59" s="303">
        <v>264693165.83494696</v>
      </c>
      <c r="G59" s="304">
        <v>-37557536.71764678</v>
      </c>
    </row>
    <row r="60" spans="1:7" ht="18" customHeight="1" thickBot="1">
      <c r="A60" s="64" t="s">
        <v>236</v>
      </c>
      <c r="B60" s="36">
        <v>40967400</v>
      </c>
      <c r="C60" s="36">
        <v>0</v>
      </c>
      <c r="D60" s="36">
        <v>0</v>
      </c>
      <c r="E60" s="36">
        <v>0</v>
      </c>
      <c r="F60" s="201">
        <v>40967400</v>
      </c>
      <c r="G60" s="305"/>
    </row>
    <row r="61" spans="1:7" ht="19.5" customHeight="1" thickBot="1">
      <c r="A61" s="65" t="s">
        <v>2</v>
      </c>
      <c r="B61" s="16">
        <v>2588269320.864948</v>
      </c>
      <c r="C61" s="37">
        <v>2126050474.53</v>
      </c>
      <c r="D61" s="37">
        <v>128279998.47</v>
      </c>
      <c r="E61" s="16">
        <v>28278282.029999997</v>
      </c>
      <c r="F61" s="303">
        <v>305660565.834947</v>
      </c>
      <c r="G61" s="306"/>
    </row>
    <row r="62" spans="1:7" ht="3.75" customHeight="1" hidden="1">
      <c r="A62" s="44"/>
      <c r="B62" s="45"/>
      <c r="C62" s="45"/>
      <c r="D62" s="45"/>
      <c r="E62" s="45"/>
      <c r="F62" s="147"/>
      <c r="G62" s="200"/>
    </row>
    <row r="63" spans="1:6" ht="6" customHeight="1" hidden="1">
      <c r="A63" s="44"/>
      <c r="B63" s="45"/>
      <c r="C63" s="45"/>
      <c r="D63" s="45"/>
      <c r="E63" s="45"/>
      <c r="F63" s="147"/>
    </row>
    <row r="64" spans="1:7" ht="48" customHeight="1">
      <c r="A64" s="383" t="s">
        <v>225</v>
      </c>
      <c r="B64" s="383"/>
      <c r="C64" s="383"/>
      <c r="D64" s="383"/>
      <c r="E64" s="383"/>
      <c r="F64" s="383"/>
      <c r="G64" s="383"/>
    </row>
    <row r="65" spans="1:7" ht="33.75" customHeight="1">
      <c r="A65" s="387" t="s">
        <v>260</v>
      </c>
      <c r="B65" s="388"/>
      <c r="C65" s="388"/>
      <c r="D65" s="388"/>
      <c r="E65" s="388"/>
      <c r="F65" s="388"/>
      <c r="G65" s="388"/>
    </row>
    <row r="66" spans="1:7" ht="29.25" customHeight="1">
      <c r="A66" s="383" t="s">
        <v>261</v>
      </c>
      <c r="B66" s="383"/>
      <c r="C66" s="383"/>
      <c r="D66" s="383"/>
      <c r="E66" s="383"/>
      <c r="F66" s="383"/>
      <c r="G66" s="383"/>
    </row>
  </sheetData>
  <mergeCells count="6">
    <mergeCell ref="A66:G66"/>
    <mergeCell ref="A5:G5"/>
    <mergeCell ref="A7:G7"/>
    <mergeCell ref="A6:G6"/>
    <mergeCell ref="A64:G64"/>
    <mergeCell ref="A65:G65"/>
  </mergeCells>
  <printOptions horizontalCentered="1" verticalCentered="1"/>
  <pageMargins left="0.196850393700787" right="0.196850393700787" top="0" bottom="0" header="0" footer="0"/>
  <pageSetup fitToHeight="1" fitToWidth="1" horizontalDpi="300" verticalDpi="300" orientation="portrait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57"/>
  <sheetViews>
    <sheetView view="pageBreakPreview" zoomScale="75" zoomScaleSheetLayoutView="75" workbookViewId="0" topLeftCell="A1">
      <selection activeCell="A16" sqref="A16"/>
    </sheetView>
  </sheetViews>
  <sheetFormatPr defaultColWidth="8.796875" defaultRowHeight="15"/>
  <cols>
    <col min="1" max="1" width="18.69921875" style="0" customWidth="1"/>
    <col min="2" max="2" width="16.3984375" style="0" customWidth="1"/>
    <col min="3" max="3" width="15.09765625" style="0" customWidth="1"/>
    <col min="4" max="4" width="14.796875" style="0" customWidth="1"/>
    <col min="5" max="5" width="14.69921875" style="0" customWidth="1"/>
    <col min="6" max="6" width="15.796875" style="0" customWidth="1"/>
  </cols>
  <sheetData>
    <row r="1" spans="1:2" ht="15.75">
      <c r="A1" s="391" t="str">
        <f>status!$C$1</f>
        <v>UNEP/OzL.Pro/ExCom/57/L.1</v>
      </c>
      <c r="B1" s="392"/>
    </row>
    <row r="2" spans="1:2" ht="15.75">
      <c r="A2" s="203" t="s">
        <v>253</v>
      </c>
      <c r="B2" s="360"/>
    </row>
    <row r="3" spans="1:2" ht="15.75">
      <c r="A3" s="358" t="s">
        <v>227</v>
      </c>
      <c r="B3" s="359"/>
    </row>
    <row r="4" ht="15.75">
      <c r="A4" s="5"/>
    </row>
    <row r="5" spans="1:6" ht="15">
      <c r="A5" s="393" t="s">
        <v>125</v>
      </c>
      <c r="B5" s="393"/>
      <c r="C5" s="393"/>
      <c r="D5" s="393"/>
      <c r="E5" s="393"/>
      <c r="F5" s="393"/>
    </row>
    <row r="6" spans="1:6" ht="15">
      <c r="A6" s="371" t="s">
        <v>237</v>
      </c>
      <c r="B6" s="371"/>
      <c r="C6" s="371"/>
      <c r="D6" s="371"/>
      <c r="E6" s="371"/>
      <c r="F6" s="371"/>
    </row>
    <row r="7" spans="1:6" s="344" customFormat="1" ht="15.75" thickBot="1">
      <c r="A7" s="372" t="s">
        <v>238</v>
      </c>
      <c r="B7" s="372"/>
      <c r="C7" s="372"/>
      <c r="D7" s="372"/>
      <c r="E7" s="372"/>
      <c r="F7" s="372"/>
    </row>
    <row r="8" spans="1:6" ht="28.5" customHeight="1" thickBot="1">
      <c r="A8" s="182" t="s">
        <v>216</v>
      </c>
      <c r="B8" s="183" t="s">
        <v>217</v>
      </c>
      <c r="C8" s="183" t="s">
        <v>156</v>
      </c>
      <c r="D8" s="183" t="s">
        <v>157</v>
      </c>
      <c r="E8" s="183" t="s">
        <v>158</v>
      </c>
      <c r="F8" s="184" t="s">
        <v>218</v>
      </c>
    </row>
    <row r="9" spans="1:6" ht="15" customHeight="1">
      <c r="A9" s="149" t="s">
        <v>10</v>
      </c>
      <c r="B9" s="150">
        <v>2892710.94</v>
      </c>
      <c r="C9" s="150">
        <v>2892710.94</v>
      </c>
      <c r="D9" s="151"/>
      <c r="E9" s="151"/>
      <c r="F9" s="186">
        <v>0</v>
      </c>
    </row>
    <row r="10" spans="1:6" ht="15">
      <c r="A10" s="154" t="s">
        <v>11</v>
      </c>
      <c r="B10" s="155">
        <v>1435833.58</v>
      </c>
      <c r="C10" s="155"/>
      <c r="D10" s="156"/>
      <c r="E10" s="156"/>
      <c r="F10" s="186">
        <v>1435833.58</v>
      </c>
    </row>
    <row r="11" spans="1:6" ht="15">
      <c r="A11" s="157" t="s">
        <v>175</v>
      </c>
      <c r="B11" s="155">
        <v>8093.76</v>
      </c>
      <c r="C11" s="156"/>
      <c r="D11" s="156"/>
      <c r="E11" s="156"/>
      <c r="F11" s="186">
        <v>8093.76</v>
      </c>
    </row>
    <row r="12" spans="1:6" ht="15">
      <c r="A12" s="154" t="s">
        <v>176</v>
      </c>
      <c r="B12" s="155">
        <v>32375.05</v>
      </c>
      <c r="C12" s="156"/>
      <c r="D12" s="156"/>
      <c r="E12" s="156"/>
      <c r="F12" s="186">
        <v>32375.05</v>
      </c>
    </row>
    <row r="13" spans="1:6" ht="15">
      <c r="A13" s="154" t="s">
        <v>177</v>
      </c>
      <c r="B13" s="155">
        <v>1783865.39</v>
      </c>
      <c r="C13" s="155"/>
      <c r="D13" s="156"/>
      <c r="E13" s="156"/>
      <c r="F13" s="186">
        <v>1783865.39</v>
      </c>
    </row>
    <row r="14" spans="1:6" ht="15">
      <c r="A14" s="154" t="s">
        <v>48</v>
      </c>
      <c r="B14" s="155">
        <v>32375.05</v>
      </c>
      <c r="C14" s="155"/>
      <c r="D14" s="156"/>
      <c r="E14" s="156"/>
      <c r="F14" s="186">
        <v>32375.05</v>
      </c>
    </row>
    <row r="15" spans="1:6" ht="15">
      <c r="A15" s="154" t="s">
        <v>220</v>
      </c>
      <c r="B15" s="155">
        <v>4819026.57</v>
      </c>
      <c r="C15" s="156"/>
      <c r="D15" s="156"/>
      <c r="E15" s="156"/>
      <c r="F15" s="186">
        <v>4819026.57</v>
      </c>
    </row>
    <row r="16" spans="1:6" ht="15">
      <c r="A16" s="154" t="s">
        <v>179</v>
      </c>
      <c r="B16" s="155">
        <v>71225.12</v>
      </c>
      <c r="C16" s="155"/>
      <c r="D16" s="156"/>
      <c r="E16" s="156"/>
      <c r="F16" s="186">
        <v>71225.12</v>
      </c>
    </row>
    <row r="17" spans="1:6" ht="15">
      <c r="A17" s="154" t="s">
        <v>180</v>
      </c>
      <c r="B17" s="155">
        <v>454869.49</v>
      </c>
      <c r="C17" s="155">
        <v>454869.49</v>
      </c>
      <c r="D17" s="156"/>
      <c r="E17" s="156"/>
      <c r="F17" s="186">
        <v>0</v>
      </c>
    </row>
    <row r="18" spans="1:6" ht="15">
      <c r="A18" s="154" t="s">
        <v>181</v>
      </c>
      <c r="B18" s="155">
        <v>1196258.19</v>
      </c>
      <c r="C18" s="155"/>
      <c r="D18" s="156"/>
      <c r="E18" s="156"/>
      <c r="F18" s="186">
        <v>1196258.19</v>
      </c>
    </row>
    <row r="19" spans="1:6" ht="15">
      <c r="A19" s="154" t="s">
        <v>62</v>
      </c>
      <c r="B19" s="155">
        <v>25900.04</v>
      </c>
      <c r="C19" s="155"/>
      <c r="D19" s="156"/>
      <c r="E19" s="156"/>
      <c r="F19" s="186">
        <v>25900.04</v>
      </c>
    </row>
    <row r="20" spans="1:6" ht="15">
      <c r="A20" s="154" t="s">
        <v>182</v>
      </c>
      <c r="B20" s="155">
        <v>912976.48</v>
      </c>
      <c r="C20" s="155"/>
      <c r="D20" s="156"/>
      <c r="E20" s="156"/>
      <c r="F20" s="186">
        <v>912976.48</v>
      </c>
    </row>
    <row r="21" spans="1:6" ht="15">
      <c r="A21" s="154" t="s">
        <v>183</v>
      </c>
      <c r="B21" s="155">
        <v>10199760.3</v>
      </c>
      <c r="C21" s="156"/>
      <c r="D21" s="156"/>
      <c r="E21" s="156">
        <v>0</v>
      </c>
      <c r="F21" s="186">
        <v>10199760.3</v>
      </c>
    </row>
    <row r="22" spans="1:6" ht="15">
      <c r="A22" s="154" t="s">
        <v>221</v>
      </c>
      <c r="B22" s="155">
        <v>13884041.28</v>
      </c>
      <c r="C22" s="156"/>
      <c r="D22" s="156"/>
      <c r="E22" s="155">
        <v>0</v>
      </c>
      <c r="F22" s="186">
        <v>13884041.28</v>
      </c>
    </row>
    <row r="23" spans="1:6" ht="15">
      <c r="A23" s="154" t="s">
        <v>185</v>
      </c>
      <c r="B23" s="155">
        <v>964776.57</v>
      </c>
      <c r="C23" s="156"/>
      <c r="D23" s="156"/>
      <c r="E23" s="156"/>
      <c r="F23" s="186">
        <v>964776.57</v>
      </c>
    </row>
    <row r="24" spans="1:6" ht="15">
      <c r="A24" s="154" t="s">
        <v>186</v>
      </c>
      <c r="B24" s="155">
        <v>394975.64</v>
      </c>
      <c r="C24" s="155">
        <v>380000</v>
      </c>
      <c r="D24" s="156"/>
      <c r="E24" s="156"/>
      <c r="F24" s="186">
        <v>14975.64</v>
      </c>
    </row>
    <row r="25" spans="1:6" ht="15">
      <c r="A25" s="154" t="s">
        <v>187</v>
      </c>
      <c r="B25" s="155">
        <v>59893.85</v>
      </c>
      <c r="C25" s="155"/>
      <c r="D25" s="156"/>
      <c r="E25" s="156"/>
      <c r="F25" s="186">
        <v>59893.85</v>
      </c>
    </row>
    <row r="26" spans="1:6" ht="15">
      <c r="A26" s="154" t="s">
        <v>188</v>
      </c>
      <c r="B26" s="155">
        <v>720344.92</v>
      </c>
      <c r="C26" s="155">
        <v>720344.92</v>
      </c>
      <c r="D26" s="156"/>
      <c r="E26" s="156"/>
      <c r="F26" s="186">
        <v>0</v>
      </c>
    </row>
    <row r="27" spans="1:6" ht="15">
      <c r="A27" s="154" t="s">
        <v>25</v>
      </c>
      <c r="B27" s="155">
        <v>678257.35</v>
      </c>
      <c r="C27" s="156"/>
      <c r="D27" s="156"/>
      <c r="E27" s="156"/>
      <c r="F27" s="186">
        <v>678257.35</v>
      </c>
    </row>
    <row r="28" spans="1:6" ht="15">
      <c r="A28" s="154" t="s">
        <v>189</v>
      </c>
      <c r="B28" s="155">
        <v>8221644.59</v>
      </c>
      <c r="C28" s="156"/>
      <c r="D28" s="156"/>
      <c r="E28" s="156"/>
      <c r="F28" s="186">
        <v>8221644.59</v>
      </c>
    </row>
    <row r="29" spans="1:6" ht="15">
      <c r="A29" s="154" t="s">
        <v>190</v>
      </c>
      <c r="B29" s="155">
        <v>26910143.66</v>
      </c>
      <c r="C29" s="155"/>
      <c r="D29" s="156"/>
      <c r="E29" s="156"/>
      <c r="F29" s="186">
        <v>26910143.66</v>
      </c>
    </row>
    <row r="30" spans="1:6" ht="15">
      <c r="A30" s="154" t="s">
        <v>191</v>
      </c>
      <c r="B30" s="155">
        <v>29137.55</v>
      </c>
      <c r="C30" s="155"/>
      <c r="D30" s="156"/>
      <c r="E30" s="156"/>
      <c r="F30" s="186">
        <v>29137.55</v>
      </c>
    </row>
    <row r="31" spans="1:6" ht="15">
      <c r="A31" s="154" t="s">
        <v>27</v>
      </c>
      <c r="B31" s="155">
        <v>16187.53</v>
      </c>
      <c r="C31" s="155">
        <v>16187.53</v>
      </c>
      <c r="D31" s="156"/>
      <c r="E31" s="156"/>
      <c r="F31" s="186">
        <v>0</v>
      </c>
    </row>
    <row r="32" spans="1:6" ht="15">
      <c r="A32" s="154" t="s">
        <v>192</v>
      </c>
      <c r="B32" s="155">
        <v>50181.33</v>
      </c>
      <c r="C32" s="156"/>
      <c r="D32" s="156"/>
      <c r="E32" s="156"/>
      <c r="F32" s="186">
        <v>50181.33</v>
      </c>
    </row>
    <row r="33" spans="1:6" ht="15">
      <c r="A33" s="154" t="s">
        <v>193</v>
      </c>
      <c r="B33" s="155">
        <v>137593.97</v>
      </c>
      <c r="C33" s="155">
        <v>137593.97</v>
      </c>
      <c r="D33" s="156"/>
      <c r="E33" s="156"/>
      <c r="F33" s="186">
        <v>0</v>
      </c>
    </row>
    <row r="34" spans="1:6" ht="15">
      <c r="A34" s="154" t="s">
        <v>53</v>
      </c>
      <c r="B34" s="155">
        <v>27518.79</v>
      </c>
      <c r="C34" s="155"/>
      <c r="D34" s="156"/>
      <c r="E34" s="156"/>
      <c r="F34" s="186">
        <v>27518.79</v>
      </c>
    </row>
    <row r="35" spans="1:6" ht="15">
      <c r="A35" s="154" t="s">
        <v>194</v>
      </c>
      <c r="B35" s="155">
        <v>4856.26</v>
      </c>
      <c r="C35" s="155">
        <v>4856.26</v>
      </c>
      <c r="D35" s="156"/>
      <c r="E35" s="156"/>
      <c r="F35" s="186">
        <v>0</v>
      </c>
    </row>
    <row r="36" spans="1:6" ht="15">
      <c r="A36" s="154" t="s">
        <v>195</v>
      </c>
      <c r="B36" s="155">
        <v>3031923.67</v>
      </c>
      <c r="C36" s="155"/>
      <c r="D36" s="156"/>
      <c r="E36" s="156"/>
      <c r="F36" s="186">
        <v>3031923.67</v>
      </c>
    </row>
    <row r="37" spans="1:6" ht="15">
      <c r="A37" s="154" t="s">
        <v>196</v>
      </c>
      <c r="B37" s="155">
        <v>414400.67</v>
      </c>
      <c r="C37" s="155"/>
      <c r="D37" s="156"/>
      <c r="E37" s="156"/>
      <c r="F37" s="186">
        <v>414400.67</v>
      </c>
    </row>
    <row r="38" spans="1:6" ht="15">
      <c r="A38" s="154" t="s">
        <v>197</v>
      </c>
      <c r="B38" s="155">
        <v>1265864.55</v>
      </c>
      <c r="C38" s="155">
        <v>1265864.55</v>
      </c>
      <c r="D38" s="156"/>
      <c r="E38" s="156"/>
      <c r="F38" s="186">
        <v>0</v>
      </c>
    </row>
    <row r="39" spans="1:6" ht="15">
      <c r="A39" s="154" t="s">
        <v>199</v>
      </c>
      <c r="B39" s="155">
        <v>810995.07</v>
      </c>
      <c r="C39" s="155"/>
      <c r="D39" s="156"/>
      <c r="E39" s="156"/>
      <c r="F39" s="186">
        <v>810995.07</v>
      </c>
    </row>
    <row r="40" spans="1:6" ht="15">
      <c r="A40" s="154" t="s">
        <v>35</v>
      </c>
      <c r="B40" s="155">
        <v>853082.63</v>
      </c>
      <c r="C40" s="156"/>
      <c r="D40" s="156"/>
      <c r="E40" s="156"/>
      <c r="F40" s="186">
        <v>853082.63</v>
      </c>
    </row>
    <row r="41" spans="1:6" ht="15">
      <c r="A41" s="154" t="s">
        <v>200</v>
      </c>
      <c r="B41" s="155">
        <v>113312.68</v>
      </c>
      <c r="C41" s="155"/>
      <c r="D41" s="156"/>
      <c r="E41" s="156"/>
      <c r="F41" s="186">
        <v>113312.68</v>
      </c>
    </row>
    <row r="42" spans="1:6" ht="15">
      <c r="A42" s="154" t="s">
        <v>201</v>
      </c>
      <c r="B42" s="155">
        <v>1942503.15</v>
      </c>
      <c r="C42" s="156"/>
      <c r="D42" s="156"/>
      <c r="E42" s="156"/>
      <c r="F42" s="186">
        <v>1942503.15</v>
      </c>
    </row>
    <row r="43" spans="1:6" ht="15">
      <c r="A43" s="158" t="s">
        <v>203</v>
      </c>
      <c r="B43" s="155">
        <v>101981.42</v>
      </c>
      <c r="C43" s="155"/>
      <c r="D43" s="156"/>
      <c r="E43" s="156"/>
      <c r="F43" s="186">
        <v>101981.42</v>
      </c>
    </row>
    <row r="44" spans="1:6" ht="15">
      <c r="A44" s="154" t="s">
        <v>204</v>
      </c>
      <c r="B44" s="155">
        <v>155400.25</v>
      </c>
      <c r="C44" s="155">
        <v>155400.25</v>
      </c>
      <c r="D44" s="156"/>
      <c r="E44" s="156"/>
      <c r="F44" s="186">
        <v>0</v>
      </c>
    </row>
    <row r="45" spans="1:6" ht="15">
      <c r="A45" s="154" t="s">
        <v>206</v>
      </c>
      <c r="B45" s="155">
        <v>4804457.8</v>
      </c>
      <c r="C45" s="155"/>
      <c r="D45" s="156"/>
      <c r="E45" s="156"/>
      <c r="F45" s="186">
        <v>4804457.8</v>
      </c>
    </row>
    <row r="46" spans="1:6" ht="15">
      <c r="A46" s="154" t="s">
        <v>207</v>
      </c>
      <c r="B46" s="155">
        <v>1733684.06</v>
      </c>
      <c r="C46" s="155"/>
      <c r="D46" s="156"/>
      <c r="E46" s="156"/>
      <c r="F46" s="186">
        <v>1733684.06</v>
      </c>
    </row>
    <row r="47" spans="1:6" ht="15">
      <c r="A47" s="154" t="s">
        <v>208</v>
      </c>
      <c r="B47" s="155">
        <v>1968403.19</v>
      </c>
      <c r="C47" s="156"/>
      <c r="D47" s="156"/>
      <c r="E47" s="156"/>
      <c r="F47" s="186">
        <v>1968403.19</v>
      </c>
    </row>
    <row r="48" spans="1:6" ht="15">
      <c r="A48" s="154" t="s">
        <v>209</v>
      </c>
      <c r="B48" s="155">
        <v>1619</v>
      </c>
      <c r="C48" s="156"/>
      <c r="D48" s="156"/>
      <c r="E48" s="156"/>
      <c r="F48" s="186">
        <v>1619</v>
      </c>
    </row>
    <row r="49" spans="1:6" ht="15">
      <c r="A49" s="154" t="s">
        <v>210</v>
      </c>
      <c r="B49" s="155">
        <v>72843.87</v>
      </c>
      <c r="C49" s="156"/>
      <c r="D49" s="156"/>
      <c r="E49" s="156"/>
      <c r="F49" s="186">
        <v>72843.87</v>
      </c>
    </row>
    <row r="50" spans="1:6" ht="15">
      <c r="A50" s="154" t="s">
        <v>212</v>
      </c>
      <c r="B50" s="155">
        <v>10751754.95</v>
      </c>
      <c r="C50" s="155"/>
      <c r="D50" s="156"/>
      <c r="E50" s="155"/>
      <c r="F50" s="186">
        <v>10751754.95</v>
      </c>
    </row>
    <row r="51" spans="1:6" ht="15">
      <c r="A51" s="154" t="s">
        <v>213</v>
      </c>
      <c r="B51" s="155">
        <v>29333333.33</v>
      </c>
      <c r="C51" s="156"/>
      <c r="D51" s="156"/>
      <c r="E51" s="156"/>
      <c r="F51" s="186">
        <v>29333333.33</v>
      </c>
    </row>
    <row r="52" spans="1:6" ht="15.75" thickBot="1">
      <c r="A52" s="159" t="s">
        <v>214</v>
      </c>
      <c r="B52" s="155">
        <v>12950.02</v>
      </c>
      <c r="C52" s="160"/>
      <c r="D52" s="161"/>
      <c r="E52" s="162"/>
      <c r="F52" s="186">
        <v>12950.02</v>
      </c>
    </row>
    <row r="53" spans="1:6" ht="15.75" thickBot="1">
      <c r="A53" s="163" t="s">
        <v>2</v>
      </c>
      <c r="B53" s="164">
        <v>133333333.56000002</v>
      </c>
      <c r="C53" s="165">
        <v>6027827.909999999</v>
      </c>
      <c r="D53" s="166">
        <v>0</v>
      </c>
      <c r="E53" s="167">
        <v>0</v>
      </c>
      <c r="F53" s="167">
        <v>127305505.65</v>
      </c>
    </row>
    <row r="54" spans="1:6" ht="15">
      <c r="A54" s="389"/>
      <c r="B54" s="389"/>
      <c r="C54" s="389"/>
      <c r="D54" s="389"/>
      <c r="E54" s="389"/>
      <c r="F54" s="389"/>
    </row>
    <row r="55" spans="1:6" ht="15">
      <c r="A55" s="390"/>
      <c r="B55" s="390"/>
      <c r="C55" s="390"/>
      <c r="D55" s="390"/>
      <c r="E55" s="390"/>
      <c r="F55" s="390"/>
    </row>
    <row r="56" spans="1:6" ht="15">
      <c r="A56" s="288"/>
      <c r="B56" s="289"/>
      <c r="C56" s="290"/>
      <c r="D56" s="290"/>
      <c r="E56" s="290"/>
      <c r="F56" s="290"/>
    </row>
    <row r="57" spans="1:6" ht="15">
      <c r="A57" s="288"/>
      <c r="B57" s="286"/>
      <c r="C57" s="287"/>
      <c r="D57" s="287"/>
      <c r="E57" s="287"/>
      <c r="F57" s="287"/>
    </row>
  </sheetData>
  <mergeCells count="5">
    <mergeCell ref="A54:F55"/>
    <mergeCell ref="A1:B1"/>
    <mergeCell ref="A5:F5"/>
    <mergeCell ref="A6:F6"/>
    <mergeCell ref="A7:F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60"/>
  <sheetViews>
    <sheetView view="pageBreakPreview" zoomScale="75" zoomScaleSheetLayoutView="75" workbookViewId="0" topLeftCell="A1">
      <selection activeCell="A41" sqref="A41"/>
    </sheetView>
  </sheetViews>
  <sheetFormatPr defaultColWidth="8.796875" defaultRowHeight="15"/>
  <cols>
    <col min="1" max="1" width="22.796875" style="0" customWidth="1"/>
    <col min="2" max="2" width="16.3984375" style="0" customWidth="1"/>
    <col min="3" max="3" width="15.09765625" style="0" customWidth="1"/>
    <col min="4" max="4" width="14.796875" style="0" customWidth="1"/>
    <col min="5" max="5" width="14.69921875" style="0" customWidth="1"/>
    <col min="6" max="6" width="15.796875" style="0" customWidth="1"/>
  </cols>
  <sheetData>
    <row r="1" spans="1:2" ht="15.75">
      <c r="A1" s="391" t="str">
        <f>status!$C$1</f>
        <v>UNEP/OzL.Pro/ExCom/57/L.1</v>
      </c>
      <c r="B1" s="392"/>
    </row>
    <row r="2" spans="1:2" ht="15.75">
      <c r="A2" s="203" t="s">
        <v>253</v>
      </c>
      <c r="B2" s="360"/>
    </row>
    <row r="3" spans="1:2" ht="15.75">
      <c r="A3" s="358" t="s">
        <v>243</v>
      </c>
      <c r="B3" s="359"/>
    </row>
    <row r="4" ht="15.75">
      <c r="A4" s="5"/>
    </row>
    <row r="5" spans="1:6" ht="15">
      <c r="A5" s="393" t="s">
        <v>125</v>
      </c>
      <c r="B5" s="393"/>
      <c r="C5" s="393"/>
      <c r="D5" s="393"/>
      <c r="E5" s="393"/>
      <c r="F5" s="393"/>
    </row>
    <row r="6" spans="1:6" ht="15">
      <c r="A6" s="371" t="s">
        <v>245</v>
      </c>
      <c r="B6" s="371"/>
      <c r="C6" s="371"/>
      <c r="D6" s="371"/>
      <c r="E6" s="371"/>
      <c r="F6" s="371"/>
    </row>
    <row r="7" spans="1:6" ht="15.75" thickBot="1">
      <c r="A7" s="396" t="s">
        <v>238</v>
      </c>
      <c r="B7" s="396"/>
      <c r="C7" s="396"/>
      <c r="D7" s="396"/>
      <c r="E7" s="396"/>
      <c r="F7" s="396"/>
    </row>
    <row r="8" spans="1:6" ht="28.5" customHeight="1" thickBot="1">
      <c r="A8" s="182" t="s">
        <v>216</v>
      </c>
      <c r="B8" s="183" t="s">
        <v>217</v>
      </c>
      <c r="C8" s="183" t="s">
        <v>156</v>
      </c>
      <c r="D8" s="183" t="s">
        <v>157</v>
      </c>
      <c r="E8" s="183" t="s">
        <v>158</v>
      </c>
      <c r="F8" s="184" t="s">
        <v>218</v>
      </c>
    </row>
    <row r="9" spans="1:6" ht="15" customHeight="1">
      <c r="A9" s="149" t="s">
        <v>10</v>
      </c>
      <c r="B9" s="150">
        <v>2660143.14</v>
      </c>
      <c r="C9" s="150">
        <v>2660143.14</v>
      </c>
      <c r="D9" s="151"/>
      <c r="E9" s="151"/>
      <c r="F9" s="186">
        <v>0</v>
      </c>
    </row>
    <row r="10" spans="1:6" ht="15">
      <c r="A10" s="154" t="s">
        <v>11</v>
      </c>
      <c r="B10" s="155">
        <v>1435341.05</v>
      </c>
      <c r="C10" s="155">
        <v>1435341.05</v>
      </c>
      <c r="D10" s="156"/>
      <c r="E10" s="156"/>
      <c r="F10" s="186">
        <v>0</v>
      </c>
    </row>
    <row r="11" spans="1:6" ht="15">
      <c r="A11" s="157" t="s">
        <v>175</v>
      </c>
      <c r="B11" s="155">
        <v>8354.72</v>
      </c>
      <c r="C11" s="156"/>
      <c r="D11" s="156"/>
      <c r="E11" s="156"/>
      <c r="F11" s="186">
        <v>8354.72</v>
      </c>
    </row>
    <row r="12" spans="1:6" ht="15">
      <c r="A12" s="154" t="s">
        <v>176</v>
      </c>
      <c r="B12" s="155">
        <v>30077</v>
      </c>
      <c r="C12" s="156"/>
      <c r="D12" s="156"/>
      <c r="E12" s="156"/>
      <c r="F12" s="186">
        <v>30077</v>
      </c>
    </row>
    <row r="13" spans="1:6" ht="15">
      <c r="A13" s="154" t="s">
        <v>177</v>
      </c>
      <c r="B13" s="155">
        <v>1786239.33</v>
      </c>
      <c r="C13" s="155">
        <v>1786239.33</v>
      </c>
      <c r="D13" s="156"/>
      <c r="E13" s="156"/>
      <c r="F13" s="186">
        <v>0</v>
      </c>
    </row>
    <row r="14" spans="1:6" ht="15">
      <c r="A14" s="154" t="s">
        <v>48</v>
      </c>
      <c r="B14" s="155">
        <v>28406.05</v>
      </c>
      <c r="C14" s="155">
        <v>28406.05</v>
      </c>
      <c r="D14" s="156"/>
      <c r="E14" s="156"/>
      <c r="F14" s="186">
        <v>0</v>
      </c>
    </row>
    <row r="15" spans="1:6" ht="15">
      <c r="A15" s="154" t="s">
        <v>220</v>
      </c>
      <c r="B15" s="155">
        <v>4700365.99</v>
      </c>
      <c r="C15" s="156">
        <v>3903140.7</v>
      </c>
      <c r="D15" s="156">
        <v>940073</v>
      </c>
      <c r="E15" s="156"/>
      <c r="F15" s="186">
        <v>-142847.71</v>
      </c>
    </row>
    <row r="16" spans="1:6" ht="15">
      <c r="A16" s="154" t="s">
        <v>179</v>
      </c>
      <c r="B16" s="155">
        <v>65166.82</v>
      </c>
      <c r="C16" s="155">
        <v>65166.82</v>
      </c>
      <c r="D16" s="156"/>
      <c r="E16" s="156"/>
      <c r="F16" s="186">
        <v>0</v>
      </c>
    </row>
    <row r="17" spans="1:6" ht="15">
      <c r="A17" s="154" t="s">
        <v>180</v>
      </c>
      <c r="B17" s="155">
        <v>305782.79</v>
      </c>
      <c r="C17" s="155">
        <v>305782.79</v>
      </c>
      <c r="D17" s="156"/>
      <c r="E17" s="156"/>
      <c r="F17" s="186">
        <v>0</v>
      </c>
    </row>
    <row r="18" spans="1:6" ht="15">
      <c r="A18" s="154" t="s">
        <v>181</v>
      </c>
      <c r="B18" s="155">
        <v>1199737.92</v>
      </c>
      <c r="C18" s="155">
        <v>1199737.92</v>
      </c>
      <c r="D18" s="156"/>
      <c r="E18" s="156"/>
      <c r="F18" s="186">
        <v>0</v>
      </c>
    </row>
    <row r="19" spans="1:6" ht="15">
      <c r="A19" s="154" t="s">
        <v>62</v>
      </c>
      <c r="B19" s="155">
        <v>20051.33</v>
      </c>
      <c r="C19" s="155">
        <v>20051.33</v>
      </c>
      <c r="D19" s="156"/>
      <c r="E19" s="156"/>
      <c r="F19" s="186">
        <v>0</v>
      </c>
    </row>
    <row r="20" spans="1:6" ht="15">
      <c r="A20" s="154" t="s">
        <v>182</v>
      </c>
      <c r="B20" s="155">
        <v>890613.25</v>
      </c>
      <c r="C20" s="155">
        <v>890613.25</v>
      </c>
      <c r="D20" s="156"/>
      <c r="E20" s="156"/>
      <c r="F20" s="186">
        <v>0</v>
      </c>
    </row>
    <row r="21" spans="1:6" ht="15">
      <c r="A21" s="154" t="s">
        <v>183</v>
      </c>
      <c r="B21" s="155">
        <v>10075793.43</v>
      </c>
      <c r="C21" s="156"/>
      <c r="D21" s="156">
        <v>842980</v>
      </c>
      <c r="E21" s="156">
        <v>9148063.43</v>
      </c>
      <c r="F21" s="186">
        <v>84750</v>
      </c>
    </row>
    <row r="22" spans="1:6" ht="15">
      <c r="A22" s="154" t="s">
        <v>184</v>
      </c>
      <c r="B22" s="155">
        <v>14473718.52</v>
      </c>
      <c r="C22" s="156">
        <v>964914.57</v>
      </c>
      <c r="D22" s="156">
        <v>2891058</v>
      </c>
      <c r="E22" s="155">
        <v>4824572.85</v>
      </c>
      <c r="F22" s="186">
        <v>5793173.1</v>
      </c>
    </row>
    <row r="23" spans="1:6" ht="15">
      <c r="A23" s="154" t="s">
        <v>185</v>
      </c>
      <c r="B23" s="155">
        <v>885600.42</v>
      </c>
      <c r="C23" s="156"/>
      <c r="D23" s="156"/>
      <c r="E23" s="156"/>
      <c r="F23" s="186">
        <v>885600.42</v>
      </c>
    </row>
    <row r="24" spans="1:6" ht="15">
      <c r="A24" s="154" t="s">
        <v>186</v>
      </c>
      <c r="B24" s="155">
        <v>210538.97</v>
      </c>
      <c r="C24" s="155">
        <v>210538.97</v>
      </c>
      <c r="D24" s="156"/>
      <c r="E24" s="156"/>
      <c r="F24" s="186">
        <v>0</v>
      </c>
    </row>
    <row r="25" spans="1:6" ht="15">
      <c r="A25" s="154" t="s">
        <v>187</v>
      </c>
      <c r="B25" s="155">
        <v>56812.1</v>
      </c>
      <c r="C25" s="155">
        <v>56812.1</v>
      </c>
      <c r="D25" s="156"/>
      <c r="E25" s="156"/>
      <c r="F25" s="186">
        <v>0</v>
      </c>
    </row>
    <row r="26" spans="1:6" ht="15">
      <c r="A26" s="154" t="s">
        <v>188</v>
      </c>
      <c r="B26" s="155">
        <v>584830.46</v>
      </c>
      <c r="C26" s="155">
        <v>584830.46</v>
      </c>
      <c r="D26" s="156"/>
      <c r="E26" s="156"/>
      <c r="F26" s="186">
        <v>0</v>
      </c>
    </row>
    <row r="27" spans="1:6" ht="15">
      <c r="A27" s="154" t="s">
        <v>25</v>
      </c>
      <c r="B27" s="155">
        <v>780330.93</v>
      </c>
      <c r="C27" s="156"/>
      <c r="D27" s="156">
        <v>114356</v>
      </c>
      <c r="E27" s="156"/>
      <c r="F27" s="186">
        <v>665974.93</v>
      </c>
    </row>
    <row r="28" spans="1:6" ht="15">
      <c r="A28" s="154" t="s">
        <v>189</v>
      </c>
      <c r="B28" s="155">
        <v>8162562.34</v>
      </c>
      <c r="C28" s="156">
        <v>4665805.3</v>
      </c>
      <c r="D28" s="156">
        <v>1521994</v>
      </c>
      <c r="E28" s="156"/>
      <c r="F28" s="186">
        <v>1974763.04</v>
      </c>
    </row>
    <row r="29" spans="1:6" ht="15">
      <c r="A29" s="154" t="s">
        <v>190</v>
      </c>
      <c r="B29" s="155">
        <v>29362666.67</v>
      </c>
      <c r="C29" s="155">
        <v>29362666.67</v>
      </c>
      <c r="D29" s="156">
        <v>33900</v>
      </c>
      <c r="E29" s="156"/>
      <c r="F29" s="186">
        <v>-33900</v>
      </c>
    </row>
    <row r="30" spans="1:6" ht="15">
      <c r="A30" s="154" t="s">
        <v>191</v>
      </c>
      <c r="B30" s="155">
        <v>25064.16</v>
      </c>
      <c r="C30" s="155">
        <v>25064.16</v>
      </c>
      <c r="D30" s="156"/>
      <c r="E30" s="156"/>
      <c r="F30" s="186">
        <v>0</v>
      </c>
    </row>
    <row r="31" spans="1:6" ht="15">
      <c r="A31" s="154" t="s">
        <v>27</v>
      </c>
      <c r="B31" s="155">
        <v>8354.72</v>
      </c>
      <c r="C31" s="155">
        <v>8354.72</v>
      </c>
      <c r="D31" s="156"/>
      <c r="E31" s="156"/>
      <c r="F31" s="186">
        <v>0</v>
      </c>
    </row>
    <row r="32" spans="1:6" ht="15">
      <c r="A32" s="154" t="s">
        <v>192</v>
      </c>
      <c r="B32" s="155">
        <v>40102.66</v>
      </c>
      <c r="C32" s="156"/>
      <c r="D32" s="156"/>
      <c r="E32" s="156"/>
      <c r="F32" s="186">
        <v>40102.66</v>
      </c>
    </row>
    <row r="33" spans="1:6" ht="15">
      <c r="A33" s="154" t="s">
        <v>193</v>
      </c>
      <c r="B33" s="155">
        <v>128662.7</v>
      </c>
      <c r="C33" s="155">
        <v>128662.7</v>
      </c>
      <c r="D33" s="156"/>
      <c r="E33" s="156"/>
      <c r="F33" s="186">
        <v>0</v>
      </c>
    </row>
    <row r="34" spans="1:6" ht="15">
      <c r="A34" s="154" t="s">
        <v>53</v>
      </c>
      <c r="B34" s="155">
        <v>23393.22</v>
      </c>
      <c r="C34" s="155"/>
      <c r="D34" s="156"/>
      <c r="E34" s="156"/>
      <c r="F34" s="186">
        <v>23393.22</v>
      </c>
    </row>
    <row r="35" spans="1:6" ht="15">
      <c r="A35" s="154" t="s">
        <v>194</v>
      </c>
      <c r="B35" s="155">
        <v>5012.83</v>
      </c>
      <c r="C35" s="155">
        <v>5012.83</v>
      </c>
      <c r="D35" s="156"/>
      <c r="E35" s="156"/>
      <c r="F35" s="186">
        <v>0</v>
      </c>
    </row>
    <row r="36" spans="1:6" ht="15">
      <c r="A36" s="154" t="s">
        <v>195</v>
      </c>
      <c r="B36" s="155">
        <v>2823895.67</v>
      </c>
      <c r="C36" s="155">
        <v>1671687.01</v>
      </c>
      <c r="D36" s="156"/>
      <c r="E36" s="156"/>
      <c r="F36" s="186">
        <v>1152208.66</v>
      </c>
    </row>
    <row r="37" spans="1:6" ht="15">
      <c r="A37" s="154" t="s">
        <v>196</v>
      </c>
      <c r="B37" s="155">
        <v>369278.66</v>
      </c>
      <c r="C37" s="155">
        <v>369278.66</v>
      </c>
      <c r="D37" s="156"/>
      <c r="E37" s="156"/>
      <c r="F37" s="186">
        <v>0</v>
      </c>
    </row>
    <row r="38" spans="1:6" ht="15">
      <c r="A38" s="154" t="s">
        <v>197</v>
      </c>
      <c r="B38" s="155">
        <v>1134571.1</v>
      </c>
      <c r="C38" s="155">
        <v>1134571.1</v>
      </c>
      <c r="D38" s="156"/>
      <c r="E38" s="156"/>
      <c r="F38" s="186">
        <v>0</v>
      </c>
    </row>
    <row r="39" spans="1:6" ht="15">
      <c r="A39" s="154" t="s">
        <v>199</v>
      </c>
      <c r="B39" s="155">
        <v>770305.27</v>
      </c>
      <c r="C39" s="155">
        <v>424286.79</v>
      </c>
      <c r="D39" s="156"/>
      <c r="E39" s="156"/>
      <c r="F39" s="186">
        <v>346018.48</v>
      </c>
    </row>
    <row r="40" spans="1:6" ht="15">
      <c r="A40" s="154" t="s">
        <v>35</v>
      </c>
      <c r="B40" s="155">
        <v>785343.77</v>
      </c>
      <c r="C40" s="156"/>
      <c r="D40" s="156"/>
      <c r="E40" s="156"/>
      <c r="F40" s="186">
        <v>785343.77</v>
      </c>
    </row>
    <row r="41" spans="1:6" ht="15">
      <c r="A41" s="154" t="s">
        <v>200</v>
      </c>
      <c r="B41" s="155">
        <v>100122.35</v>
      </c>
      <c r="C41" s="155">
        <v>100122.35</v>
      </c>
      <c r="D41" s="156"/>
      <c r="E41" s="156"/>
      <c r="F41" s="186">
        <v>0</v>
      </c>
    </row>
    <row r="42" spans="1:6" ht="15">
      <c r="A42" s="154" t="s">
        <v>201</v>
      </c>
      <c r="B42" s="155">
        <v>1838038.6</v>
      </c>
      <c r="C42" s="156"/>
      <c r="D42" s="156"/>
      <c r="E42" s="156"/>
      <c r="F42" s="186">
        <v>1838038.6</v>
      </c>
    </row>
    <row r="43" spans="1:6" ht="15">
      <c r="A43" s="158" t="s">
        <v>203</v>
      </c>
      <c r="B43" s="155">
        <v>85218.15</v>
      </c>
      <c r="C43" s="155">
        <v>85218.15</v>
      </c>
      <c r="D43" s="156"/>
      <c r="E43" s="156"/>
      <c r="F43" s="186">
        <v>0</v>
      </c>
    </row>
    <row r="44" spans="1:6" ht="15">
      <c r="A44" s="154" t="s">
        <v>204</v>
      </c>
      <c r="B44" s="155">
        <v>137017.42</v>
      </c>
      <c r="C44" s="155">
        <v>137017.42</v>
      </c>
      <c r="D44" s="156"/>
      <c r="E44" s="156"/>
      <c r="F44" s="186">
        <v>0</v>
      </c>
    </row>
    <row r="45" spans="1:6" ht="15">
      <c r="A45" s="154" t="s">
        <v>206</v>
      </c>
      <c r="B45" s="155">
        <v>4210779.34</v>
      </c>
      <c r="C45" s="155">
        <v>4044217.34</v>
      </c>
      <c r="D45" s="156">
        <v>731562</v>
      </c>
      <c r="E45" s="156"/>
      <c r="F45" s="186">
        <v>-565000</v>
      </c>
    </row>
    <row r="46" spans="1:6" ht="15">
      <c r="A46" s="154" t="s">
        <v>207</v>
      </c>
      <c r="B46" s="155">
        <v>1667602.3</v>
      </c>
      <c r="C46" s="155">
        <v>1667602.3</v>
      </c>
      <c r="D46" s="156"/>
      <c r="E46" s="156"/>
      <c r="F46" s="186">
        <v>0</v>
      </c>
    </row>
    <row r="47" spans="1:6" ht="15">
      <c r="A47" s="154" t="s">
        <v>208</v>
      </c>
      <c r="B47" s="155">
        <v>2000120.19</v>
      </c>
      <c r="C47" s="156">
        <v>1997218.18</v>
      </c>
      <c r="D47" s="156">
        <v>91689</v>
      </c>
      <c r="E47" s="156"/>
      <c r="F47" s="186">
        <v>-88786.99</v>
      </c>
    </row>
    <row r="48" spans="1:6" ht="15">
      <c r="A48" s="154" t="s">
        <v>209</v>
      </c>
      <c r="B48" s="155">
        <v>1670.94</v>
      </c>
      <c r="C48" s="156"/>
      <c r="D48" s="156"/>
      <c r="E48" s="156"/>
      <c r="F48" s="186">
        <v>1670.94</v>
      </c>
    </row>
    <row r="49" spans="1:6" ht="15">
      <c r="A49" s="154" t="s">
        <v>210</v>
      </c>
      <c r="B49" s="155">
        <v>65166.82</v>
      </c>
      <c r="C49" s="156"/>
      <c r="D49" s="156"/>
      <c r="E49" s="156"/>
      <c r="F49" s="186">
        <v>65166.82</v>
      </c>
    </row>
    <row r="50" spans="1:6" ht="15">
      <c r="A50" s="154" t="s">
        <v>212</v>
      </c>
      <c r="B50" s="155">
        <v>10237875.01</v>
      </c>
      <c r="C50" s="155">
        <v>10237875.01</v>
      </c>
      <c r="D50" s="156"/>
      <c r="E50" s="155"/>
      <c r="F50" s="186">
        <v>0</v>
      </c>
    </row>
    <row r="51" spans="1:6" ht="15">
      <c r="A51" s="154" t="s">
        <v>213</v>
      </c>
      <c r="B51" s="155">
        <v>11383257.670000002</v>
      </c>
      <c r="C51" s="156"/>
      <c r="D51" s="156"/>
      <c r="E51" s="156"/>
      <c r="F51" s="186">
        <v>11383257.670000002</v>
      </c>
    </row>
    <row r="52" spans="1:6" ht="15.75" thickBot="1">
      <c r="A52" s="349" t="s">
        <v>214</v>
      </c>
      <c r="B52" s="350">
        <v>23393.22</v>
      </c>
      <c r="C52" s="160"/>
      <c r="D52" s="160"/>
      <c r="E52" s="160"/>
      <c r="F52" s="351">
        <v>23393.22</v>
      </c>
    </row>
    <row r="53" spans="1:6" ht="15.75" thickBot="1">
      <c r="A53" s="367" t="s">
        <v>59</v>
      </c>
      <c r="B53" s="368">
        <v>115587379.99999997</v>
      </c>
      <c r="C53" s="369">
        <v>70176379.16999999</v>
      </c>
      <c r="D53" s="369">
        <v>7167612</v>
      </c>
      <c r="E53" s="369">
        <v>13972636.28</v>
      </c>
      <c r="F53" s="370">
        <v>24270752.55</v>
      </c>
    </row>
    <row r="54" spans="1:6" ht="15.75" thickBot="1">
      <c r="A54" s="367" t="s">
        <v>254</v>
      </c>
      <c r="B54" s="368">
        <v>17979409</v>
      </c>
      <c r="C54" s="369">
        <v>0</v>
      </c>
      <c r="D54" s="369">
        <v>0</v>
      </c>
      <c r="E54" s="369">
        <v>0</v>
      </c>
      <c r="F54" s="370">
        <v>17979409</v>
      </c>
    </row>
    <row r="55" spans="1:6" ht="15.75" thickBot="1">
      <c r="A55" s="352" t="s">
        <v>2</v>
      </c>
      <c r="B55" s="353">
        <v>133566788.99999997</v>
      </c>
      <c r="C55" s="165">
        <v>70176379.16999999</v>
      </c>
      <c r="D55" s="165">
        <v>7167612</v>
      </c>
      <c r="E55" s="165">
        <v>13972636.28</v>
      </c>
      <c r="F55" s="165">
        <v>42250161.55</v>
      </c>
    </row>
    <row r="56" spans="1:6" ht="10.5" customHeight="1" thickBot="1">
      <c r="A56" s="389" t="s">
        <v>265</v>
      </c>
      <c r="B56" s="389"/>
      <c r="C56" s="389"/>
      <c r="D56" s="389"/>
      <c r="E56" s="389"/>
      <c r="F56" s="389"/>
    </row>
    <row r="57" spans="1:6" ht="14.25" customHeight="1">
      <c r="A57" s="389"/>
      <c r="B57" s="389"/>
      <c r="C57" s="389"/>
      <c r="D57" s="389"/>
      <c r="E57" s="389"/>
      <c r="F57" s="389"/>
    </row>
    <row r="58" spans="1:6" ht="18" customHeight="1">
      <c r="A58" s="390" t="s">
        <v>264</v>
      </c>
      <c r="B58" s="390"/>
      <c r="C58" s="390"/>
      <c r="D58" s="390"/>
      <c r="E58" s="390"/>
      <c r="F58" s="390"/>
    </row>
    <row r="59" spans="1:6" ht="20.25" customHeight="1">
      <c r="A59" s="394" t="s">
        <v>259</v>
      </c>
      <c r="B59" s="395"/>
      <c r="C59" s="395"/>
      <c r="D59" s="395"/>
      <c r="E59" s="395"/>
      <c r="F59" s="395"/>
    </row>
    <row r="60" spans="2:6" ht="15">
      <c r="B60" s="362"/>
      <c r="C60" s="362"/>
      <c r="D60" s="362"/>
      <c r="E60" s="362"/>
      <c r="F60" s="362"/>
    </row>
  </sheetData>
  <mergeCells count="7">
    <mergeCell ref="A58:F58"/>
    <mergeCell ref="A59:F59"/>
    <mergeCell ref="A56:F57"/>
    <mergeCell ref="A1:B1"/>
    <mergeCell ref="A5:F5"/>
    <mergeCell ref="A6:F6"/>
    <mergeCell ref="A7:F7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56"/>
  <sheetViews>
    <sheetView view="pageBreakPreview" zoomScale="85" zoomScaleSheetLayoutView="85" workbookViewId="0" topLeftCell="A37">
      <selection activeCell="C40" sqref="C40"/>
    </sheetView>
  </sheetViews>
  <sheetFormatPr defaultColWidth="8.796875" defaultRowHeight="15"/>
  <cols>
    <col min="1" max="1" width="22" style="0" customWidth="1"/>
    <col min="2" max="2" width="16.296875" style="0" customWidth="1"/>
    <col min="3" max="3" width="14.8984375" style="0" customWidth="1"/>
    <col min="4" max="4" width="15" style="0" customWidth="1"/>
    <col min="5" max="5" width="14.296875" style="0" customWidth="1"/>
    <col min="6" max="6" width="18.796875" style="0" customWidth="1"/>
  </cols>
  <sheetData>
    <row r="1" spans="1:6" ht="15.75">
      <c r="A1" s="203"/>
      <c r="F1" s="206" t="str">
        <f>status!$C$1</f>
        <v>UNEP/OzL.Pro/ExCom/57/L.1</v>
      </c>
    </row>
    <row r="2" spans="1:6" ht="15.75">
      <c r="A2" s="203"/>
      <c r="F2" s="206" t="s">
        <v>253</v>
      </c>
    </row>
    <row r="3" ht="15.75">
      <c r="F3" s="357" t="s">
        <v>215</v>
      </c>
    </row>
    <row r="4" ht="15.75">
      <c r="F4" s="4"/>
    </row>
    <row r="5" spans="1:6" ht="15">
      <c r="A5" s="393" t="s">
        <v>125</v>
      </c>
      <c r="B5" s="393"/>
      <c r="C5" s="393"/>
      <c r="D5" s="393"/>
      <c r="E5" s="393"/>
      <c r="F5" s="393"/>
    </row>
    <row r="6" spans="1:6" ht="15">
      <c r="A6" s="371" t="s">
        <v>241</v>
      </c>
      <c r="B6" s="371"/>
      <c r="C6" s="371"/>
      <c r="D6" s="371"/>
      <c r="E6" s="371"/>
      <c r="F6" s="371"/>
    </row>
    <row r="7" spans="1:6" ht="15.75" thickBot="1">
      <c r="A7" s="396" t="s">
        <v>238</v>
      </c>
      <c r="B7" s="396"/>
      <c r="C7" s="396"/>
      <c r="D7" s="396"/>
      <c r="E7" s="396"/>
      <c r="F7" s="396"/>
    </row>
    <row r="8" spans="1:6" ht="28.5" customHeight="1" thickBot="1">
      <c r="A8" s="182" t="s">
        <v>216</v>
      </c>
      <c r="B8" s="183" t="s">
        <v>217</v>
      </c>
      <c r="C8" s="183" t="s">
        <v>156</v>
      </c>
      <c r="D8" s="183" t="s">
        <v>157</v>
      </c>
      <c r="E8" s="183" t="s">
        <v>158</v>
      </c>
      <c r="F8" s="184" t="s">
        <v>218</v>
      </c>
    </row>
    <row r="9" spans="1:6" ht="15" customHeight="1">
      <c r="A9" s="149" t="s">
        <v>10</v>
      </c>
      <c r="B9" s="150">
        <v>2660143.14</v>
      </c>
      <c r="C9" s="150">
        <v>2530193.14</v>
      </c>
      <c r="D9" s="151"/>
      <c r="E9" s="151"/>
      <c r="F9" s="186">
        <v>129950</v>
      </c>
    </row>
    <row r="10" spans="1:6" ht="15">
      <c r="A10" s="154" t="s">
        <v>11</v>
      </c>
      <c r="B10" s="155">
        <v>1435341.05</v>
      </c>
      <c r="C10" s="155">
        <v>1435341.05</v>
      </c>
      <c r="D10" s="156"/>
      <c r="E10" s="156"/>
      <c r="F10" s="186">
        <v>0</v>
      </c>
    </row>
    <row r="11" spans="1:6" ht="15">
      <c r="A11" s="157" t="s">
        <v>175</v>
      </c>
      <c r="B11" s="155">
        <v>8354.72</v>
      </c>
      <c r="C11" s="156"/>
      <c r="D11" s="156"/>
      <c r="E11" s="156"/>
      <c r="F11" s="186">
        <v>8354.72</v>
      </c>
    </row>
    <row r="12" spans="1:6" ht="15">
      <c r="A12" s="154" t="s">
        <v>176</v>
      </c>
      <c r="B12" s="155">
        <v>30077</v>
      </c>
      <c r="C12" s="156"/>
      <c r="D12" s="156"/>
      <c r="E12" s="156"/>
      <c r="F12" s="186">
        <v>30077</v>
      </c>
    </row>
    <row r="13" spans="1:6" ht="15">
      <c r="A13" s="154" t="s">
        <v>177</v>
      </c>
      <c r="B13" s="155">
        <v>1786239.33</v>
      </c>
      <c r="C13" s="155">
        <v>1786239.33</v>
      </c>
      <c r="D13" s="156"/>
      <c r="E13" s="156"/>
      <c r="F13" s="186">
        <v>0</v>
      </c>
    </row>
    <row r="14" spans="1:6" ht="15">
      <c r="A14" s="154" t="s">
        <v>48</v>
      </c>
      <c r="B14" s="155">
        <v>28406.05</v>
      </c>
      <c r="C14" s="155">
        <v>28406.05</v>
      </c>
      <c r="D14" s="156"/>
      <c r="E14" s="156"/>
      <c r="F14" s="186">
        <v>0</v>
      </c>
    </row>
    <row r="15" spans="1:6" ht="15">
      <c r="A15" s="154" t="s">
        <v>220</v>
      </c>
      <c r="B15" s="155">
        <v>4700365.99</v>
      </c>
      <c r="C15" s="156">
        <v>4362035.73</v>
      </c>
      <c r="D15" s="156">
        <v>339959</v>
      </c>
      <c r="E15" s="156"/>
      <c r="F15" s="186">
        <v>-1628.7400000002235</v>
      </c>
    </row>
    <row r="16" spans="1:6" ht="15">
      <c r="A16" s="154" t="s">
        <v>179</v>
      </c>
      <c r="B16" s="155">
        <v>65166.82</v>
      </c>
      <c r="C16" s="156">
        <v>65166.82</v>
      </c>
      <c r="D16" s="156"/>
      <c r="E16" s="156"/>
      <c r="F16" s="186">
        <v>0</v>
      </c>
    </row>
    <row r="17" spans="1:6" ht="15">
      <c r="A17" s="154" t="s">
        <v>180</v>
      </c>
      <c r="B17" s="155">
        <v>305782.79</v>
      </c>
      <c r="C17" s="155">
        <v>305782.79</v>
      </c>
      <c r="D17" s="156"/>
      <c r="E17" s="156"/>
      <c r="F17" s="186">
        <v>0</v>
      </c>
    </row>
    <row r="18" spans="1:6" ht="15">
      <c r="A18" s="154" t="s">
        <v>181</v>
      </c>
      <c r="B18" s="155">
        <v>1199737.92</v>
      </c>
      <c r="C18" s="155">
        <v>1199737.92</v>
      </c>
      <c r="D18" s="156"/>
      <c r="E18" s="156"/>
      <c r="F18" s="186">
        <v>0</v>
      </c>
    </row>
    <row r="19" spans="1:6" ht="15">
      <c r="A19" s="154" t="s">
        <v>62</v>
      </c>
      <c r="B19" s="155">
        <v>20051.33</v>
      </c>
      <c r="C19" s="155">
        <v>20051.33</v>
      </c>
      <c r="D19" s="156"/>
      <c r="E19" s="156"/>
      <c r="F19" s="186">
        <v>0</v>
      </c>
    </row>
    <row r="20" spans="1:6" ht="15">
      <c r="A20" s="154" t="s">
        <v>182</v>
      </c>
      <c r="B20" s="155">
        <v>890613.25</v>
      </c>
      <c r="C20" s="155">
        <v>890613.25</v>
      </c>
      <c r="D20" s="156"/>
      <c r="E20" s="156"/>
      <c r="F20" s="186">
        <v>0</v>
      </c>
    </row>
    <row r="21" spans="1:6" ht="15">
      <c r="A21" s="154" t="s">
        <v>183</v>
      </c>
      <c r="B21" s="155">
        <v>10075793.43</v>
      </c>
      <c r="C21" s="156">
        <v>9287393.43</v>
      </c>
      <c r="D21" s="156">
        <v>839250</v>
      </c>
      <c r="E21" s="156"/>
      <c r="F21" s="186">
        <v>-50850</v>
      </c>
    </row>
    <row r="22" spans="1:6" ht="15">
      <c r="A22" s="154" t="s">
        <v>222</v>
      </c>
      <c r="B22" s="155">
        <v>14473718.52</v>
      </c>
      <c r="C22" s="156">
        <v>7236859.25</v>
      </c>
      <c r="D22" s="156">
        <v>2894691</v>
      </c>
      <c r="E22" s="155">
        <v>7236859.27</v>
      </c>
      <c r="F22" s="186">
        <v>-2894691</v>
      </c>
    </row>
    <row r="23" spans="1:6" ht="15">
      <c r="A23" s="154" t="s">
        <v>185</v>
      </c>
      <c r="B23" s="155">
        <v>885600.42</v>
      </c>
      <c r="C23" s="156"/>
      <c r="D23" s="156"/>
      <c r="E23" s="156"/>
      <c r="F23" s="186">
        <v>885600.42</v>
      </c>
    </row>
    <row r="24" spans="1:6" ht="15">
      <c r="A24" s="154" t="s">
        <v>186</v>
      </c>
      <c r="B24" s="155">
        <v>210538.97</v>
      </c>
      <c r="C24" s="155">
        <v>210538.97</v>
      </c>
      <c r="D24" s="156"/>
      <c r="E24" s="156"/>
      <c r="F24" s="186">
        <v>0</v>
      </c>
    </row>
    <row r="25" spans="1:6" ht="15">
      <c r="A25" s="154" t="s">
        <v>187</v>
      </c>
      <c r="B25" s="155">
        <v>56812.1</v>
      </c>
      <c r="C25" s="155">
        <v>56812.1</v>
      </c>
      <c r="D25" s="156"/>
      <c r="E25" s="156"/>
      <c r="F25" s="186">
        <v>0</v>
      </c>
    </row>
    <row r="26" spans="1:6" ht="15">
      <c r="A26" s="154" t="s">
        <v>188</v>
      </c>
      <c r="B26" s="155">
        <v>584830.46</v>
      </c>
      <c r="C26" s="155">
        <v>584830.46</v>
      </c>
      <c r="D26" s="156"/>
      <c r="E26" s="156"/>
      <c r="F26" s="186">
        <v>0</v>
      </c>
    </row>
    <row r="27" spans="1:6" ht="15">
      <c r="A27" s="154" t="s">
        <v>25</v>
      </c>
      <c r="B27" s="155">
        <v>780330.93</v>
      </c>
      <c r="C27" s="156"/>
      <c r="D27" s="156"/>
      <c r="E27" s="156"/>
      <c r="F27" s="186">
        <v>780330.93</v>
      </c>
    </row>
    <row r="28" spans="1:6" ht="15">
      <c r="A28" s="154" t="s">
        <v>189</v>
      </c>
      <c r="B28" s="155">
        <v>8162562.34</v>
      </c>
      <c r="C28" s="156">
        <v>6761774.83</v>
      </c>
      <c r="D28" s="156">
        <v>1632512</v>
      </c>
      <c r="E28" s="156"/>
      <c r="F28" s="186">
        <v>-231724.49</v>
      </c>
    </row>
    <row r="29" spans="1:6" ht="15">
      <c r="A29" s="154" t="s">
        <v>190</v>
      </c>
      <c r="B29" s="155">
        <v>29362666.67</v>
      </c>
      <c r="C29" s="155">
        <v>29362666.67</v>
      </c>
      <c r="D29" s="156">
        <v>62150</v>
      </c>
      <c r="E29" s="156"/>
      <c r="F29" s="186">
        <v>-62150</v>
      </c>
    </row>
    <row r="30" spans="1:6" ht="15">
      <c r="A30" s="154" t="s">
        <v>191</v>
      </c>
      <c r="B30" s="155">
        <v>25064.16</v>
      </c>
      <c r="C30" s="155">
        <v>25064.16</v>
      </c>
      <c r="D30" s="156"/>
      <c r="E30" s="156"/>
      <c r="F30" s="186">
        <v>0</v>
      </c>
    </row>
    <row r="31" spans="1:6" ht="15">
      <c r="A31" s="154" t="s">
        <v>27</v>
      </c>
      <c r="B31" s="155">
        <v>8354.72</v>
      </c>
      <c r="C31" s="155">
        <v>8354.72</v>
      </c>
      <c r="D31" s="156"/>
      <c r="E31" s="156"/>
      <c r="F31" s="186">
        <v>0</v>
      </c>
    </row>
    <row r="32" spans="1:6" ht="15">
      <c r="A32" s="154" t="s">
        <v>192</v>
      </c>
      <c r="B32" s="155">
        <v>40102.66</v>
      </c>
      <c r="C32" s="156"/>
      <c r="D32" s="156"/>
      <c r="E32" s="156"/>
      <c r="F32" s="186">
        <v>40102.66</v>
      </c>
    </row>
    <row r="33" spans="1:6" ht="15">
      <c r="A33" s="154" t="s">
        <v>193</v>
      </c>
      <c r="B33" s="155">
        <v>128662.7</v>
      </c>
      <c r="C33" s="155">
        <v>128662.7</v>
      </c>
      <c r="D33" s="156"/>
      <c r="E33" s="156"/>
      <c r="F33" s="186">
        <v>0</v>
      </c>
    </row>
    <row r="34" spans="1:6" ht="15">
      <c r="A34" s="154" t="s">
        <v>53</v>
      </c>
      <c r="B34" s="155">
        <v>23393.22</v>
      </c>
      <c r="C34" s="155"/>
      <c r="D34" s="156"/>
      <c r="E34" s="156"/>
      <c r="F34" s="186">
        <v>23393.22</v>
      </c>
    </row>
    <row r="35" spans="1:6" ht="15">
      <c r="A35" s="154" t="s">
        <v>194</v>
      </c>
      <c r="B35" s="155">
        <v>5012.83</v>
      </c>
      <c r="C35" s="155">
        <v>5012.83</v>
      </c>
      <c r="D35" s="156"/>
      <c r="E35" s="156"/>
      <c r="F35" s="186">
        <v>0</v>
      </c>
    </row>
    <row r="36" spans="1:6" ht="15">
      <c r="A36" s="154" t="s">
        <v>195</v>
      </c>
      <c r="B36" s="155">
        <v>2823895.67</v>
      </c>
      <c r="C36" s="155">
        <v>3400000</v>
      </c>
      <c r="D36" s="156"/>
      <c r="E36" s="156"/>
      <c r="F36" s="186">
        <v>-576104.33</v>
      </c>
    </row>
    <row r="37" spans="1:6" ht="15">
      <c r="A37" s="154" t="s">
        <v>196</v>
      </c>
      <c r="B37" s="155">
        <v>369278.66</v>
      </c>
      <c r="C37" s="155">
        <v>369278.66</v>
      </c>
      <c r="D37" s="156"/>
      <c r="E37" s="156"/>
      <c r="F37" s="186">
        <v>0</v>
      </c>
    </row>
    <row r="38" spans="1:6" ht="15">
      <c r="A38" s="154" t="s">
        <v>197</v>
      </c>
      <c r="B38" s="155">
        <v>1134571.1</v>
      </c>
      <c r="C38" s="155">
        <v>1134571.1</v>
      </c>
      <c r="D38" s="156"/>
      <c r="E38" s="156"/>
      <c r="F38" s="186">
        <v>0</v>
      </c>
    </row>
    <row r="39" spans="1:6" ht="15">
      <c r="A39" s="154" t="s">
        <v>199</v>
      </c>
      <c r="B39" s="155">
        <v>770305.27</v>
      </c>
      <c r="C39" s="155">
        <v>770305</v>
      </c>
      <c r="D39" s="156"/>
      <c r="E39" s="156"/>
      <c r="F39" s="186">
        <v>0.27000000001862645</v>
      </c>
    </row>
    <row r="40" spans="1:6" ht="15">
      <c r="A40" s="154" t="s">
        <v>35</v>
      </c>
      <c r="B40" s="155">
        <v>785343.77</v>
      </c>
      <c r="C40" s="156">
        <v>86565.52</v>
      </c>
      <c r="D40" s="156"/>
      <c r="E40" s="156"/>
      <c r="F40" s="186">
        <v>698778.25</v>
      </c>
    </row>
    <row r="41" spans="1:6" ht="15">
      <c r="A41" s="154" t="s">
        <v>201</v>
      </c>
      <c r="B41" s="155">
        <v>1838038.6</v>
      </c>
      <c r="C41" s="156"/>
      <c r="D41" s="156"/>
      <c r="E41" s="156"/>
      <c r="F41" s="186">
        <v>1838038.6</v>
      </c>
    </row>
    <row r="42" spans="1:6" ht="15">
      <c r="A42" s="158" t="s">
        <v>203</v>
      </c>
      <c r="B42" s="155">
        <v>85218.15</v>
      </c>
      <c r="C42" s="155">
        <v>85218.15</v>
      </c>
      <c r="D42" s="156"/>
      <c r="E42" s="156"/>
      <c r="F42" s="186">
        <v>0</v>
      </c>
    </row>
    <row r="43" spans="1:6" ht="15">
      <c r="A43" s="154" t="s">
        <v>204</v>
      </c>
      <c r="B43" s="155">
        <v>137017.42</v>
      </c>
      <c r="C43" s="155">
        <v>137017.42</v>
      </c>
      <c r="D43" s="156"/>
      <c r="E43" s="156"/>
      <c r="F43" s="186">
        <v>0</v>
      </c>
    </row>
    <row r="44" spans="1:6" ht="15">
      <c r="A44" s="154" t="s">
        <v>206</v>
      </c>
      <c r="B44" s="155">
        <v>4210779.34</v>
      </c>
      <c r="C44" s="155">
        <v>4210779.34</v>
      </c>
      <c r="D44" s="156"/>
      <c r="E44" s="156"/>
      <c r="F44" s="186">
        <v>0</v>
      </c>
    </row>
    <row r="45" spans="1:6" ht="15">
      <c r="A45" s="154" t="s">
        <v>207</v>
      </c>
      <c r="B45" s="155">
        <v>1667602.3</v>
      </c>
      <c r="C45" s="155">
        <v>1667602.3</v>
      </c>
      <c r="D45" s="156"/>
      <c r="E45" s="156"/>
      <c r="F45" s="186">
        <v>0</v>
      </c>
    </row>
    <row r="46" spans="1:6" ht="15">
      <c r="A46" s="154" t="s">
        <v>208</v>
      </c>
      <c r="B46" s="155">
        <v>2000120.19</v>
      </c>
      <c r="C46" s="156">
        <v>1603225.1</v>
      </c>
      <c r="D46" s="156">
        <v>14844</v>
      </c>
      <c r="E46" s="156"/>
      <c r="F46" s="186">
        <v>382051.09</v>
      </c>
    </row>
    <row r="47" spans="1:6" ht="15">
      <c r="A47" s="154" t="s">
        <v>209</v>
      </c>
      <c r="B47" s="155">
        <v>1670.94</v>
      </c>
      <c r="C47" s="156"/>
      <c r="D47" s="156"/>
      <c r="E47" s="156"/>
      <c r="F47" s="186">
        <v>1670.94</v>
      </c>
    </row>
    <row r="48" spans="1:6" ht="15">
      <c r="A48" s="154" t="s">
        <v>210</v>
      </c>
      <c r="B48" s="155">
        <v>65166.82</v>
      </c>
      <c r="C48" s="156"/>
      <c r="D48" s="156"/>
      <c r="E48" s="156"/>
      <c r="F48" s="186">
        <v>65166.82</v>
      </c>
    </row>
    <row r="49" spans="1:6" ht="15">
      <c r="A49" s="154" t="s">
        <v>212</v>
      </c>
      <c r="B49" s="155">
        <v>10237875.01</v>
      </c>
      <c r="C49" s="155">
        <v>10237875.01</v>
      </c>
      <c r="D49" s="156"/>
      <c r="E49" s="155"/>
      <c r="F49" s="186">
        <v>0</v>
      </c>
    </row>
    <row r="50" spans="1:6" ht="15">
      <c r="A50" s="154" t="s">
        <v>239</v>
      </c>
      <c r="B50" s="155">
        <v>14472942.670000002</v>
      </c>
      <c r="C50" s="156">
        <v>14472943</v>
      </c>
      <c r="D50" s="156"/>
      <c r="E50" s="156"/>
      <c r="F50" s="186">
        <v>-0.32999999821186066</v>
      </c>
    </row>
    <row r="51" spans="1:6" ht="15.75" thickBot="1">
      <c r="A51" s="159" t="s">
        <v>214</v>
      </c>
      <c r="B51" s="155">
        <v>23393.22</v>
      </c>
      <c r="C51" s="160"/>
      <c r="D51" s="354"/>
      <c r="E51" s="160"/>
      <c r="F51" s="355">
        <v>23393.22</v>
      </c>
    </row>
    <row r="52" spans="1:6" ht="15.75" thickBot="1">
      <c r="A52" s="367" t="s">
        <v>59</v>
      </c>
      <c r="B52" s="368">
        <v>118576942.64999998</v>
      </c>
      <c r="C52" s="369">
        <v>104466918.13</v>
      </c>
      <c r="D52" s="369">
        <v>5783406</v>
      </c>
      <c r="E52" s="369">
        <v>7236859.27</v>
      </c>
      <c r="F52" s="370">
        <v>1089759.25</v>
      </c>
    </row>
    <row r="53" spans="1:6" ht="15.75" thickBot="1">
      <c r="A53" s="367" t="s">
        <v>255</v>
      </c>
      <c r="B53" s="368">
        <v>14889724</v>
      </c>
      <c r="C53" s="369">
        <v>0</v>
      </c>
      <c r="D53" s="369">
        <v>0</v>
      </c>
      <c r="E53" s="369">
        <v>0</v>
      </c>
      <c r="F53" s="370">
        <v>14889724</v>
      </c>
    </row>
    <row r="54" spans="1:6" ht="15.75" thickBot="1">
      <c r="A54" s="352" t="s">
        <v>2</v>
      </c>
      <c r="B54" s="353">
        <v>133466666.64999998</v>
      </c>
      <c r="C54" s="165">
        <v>104466918.13</v>
      </c>
      <c r="D54" s="165">
        <v>5783406</v>
      </c>
      <c r="E54" s="165">
        <v>7236859.27</v>
      </c>
      <c r="F54" s="165">
        <v>15979483.250000002</v>
      </c>
    </row>
    <row r="55" spans="2:6" ht="15">
      <c r="B55" s="289"/>
      <c r="C55" s="290"/>
      <c r="D55" s="290"/>
      <c r="E55" s="290"/>
      <c r="F55" s="290"/>
    </row>
    <row r="56" spans="1:6" ht="15">
      <c r="A56" s="397" t="s">
        <v>262</v>
      </c>
      <c r="B56" s="398"/>
      <c r="C56" s="398"/>
      <c r="D56" s="398"/>
      <c r="E56" s="398"/>
      <c r="F56" s="398"/>
    </row>
  </sheetData>
  <mergeCells count="4">
    <mergeCell ref="A6:F6"/>
    <mergeCell ref="A5:F5"/>
    <mergeCell ref="A7:F7"/>
    <mergeCell ref="A56:F56"/>
  </mergeCells>
  <printOptions horizontalCentered="1"/>
  <pageMargins left="0.5" right="0.5" top="0.75" bottom="0.75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view="pageBreakPreview" zoomScale="85" zoomScaleSheetLayoutView="85" workbookViewId="0" topLeftCell="A34">
      <selection activeCell="A46" sqref="A46"/>
    </sheetView>
  </sheetViews>
  <sheetFormatPr defaultColWidth="8.796875" defaultRowHeight="15"/>
  <cols>
    <col min="1" max="1" width="22.8984375" style="0" customWidth="1"/>
    <col min="2" max="2" width="15.296875" style="0" customWidth="1"/>
    <col min="3" max="3" width="14.8984375" style="0" customWidth="1"/>
    <col min="4" max="4" width="14.19921875" style="0" customWidth="1"/>
    <col min="5" max="5" width="14.09765625" style="0" customWidth="1"/>
    <col min="6" max="6" width="16.09765625" style="0" customWidth="1"/>
  </cols>
  <sheetData>
    <row r="1" spans="1:4" ht="15" customHeight="1">
      <c r="A1" s="391" t="str">
        <f>status!$C$1</f>
        <v>UNEP/OzL.Pro/ExCom/57/L.1</v>
      </c>
      <c r="B1" s="391"/>
      <c r="C1" s="7"/>
      <c r="D1" s="7"/>
    </row>
    <row r="2" spans="1:4" ht="15" customHeight="1">
      <c r="A2" s="203" t="s">
        <v>253</v>
      </c>
      <c r="B2" s="203"/>
      <c r="C2" s="7"/>
      <c r="D2" s="7"/>
    </row>
    <row r="3" spans="1:6" ht="15" customHeight="1">
      <c r="A3" s="358" t="s">
        <v>251</v>
      </c>
      <c r="B3" s="359"/>
      <c r="C3" s="7"/>
      <c r="D3" s="7"/>
      <c r="E3" s="7"/>
      <c r="F3" s="7"/>
    </row>
    <row r="4" spans="1:8" ht="15" customHeight="1">
      <c r="A4" s="393" t="s">
        <v>125</v>
      </c>
      <c r="B4" s="393"/>
      <c r="C4" s="393"/>
      <c r="D4" s="393"/>
      <c r="E4" s="393"/>
      <c r="F4" s="393"/>
      <c r="G4" s="207"/>
      <c r="H4" s="207"/>
    </row>
    <row r="5" spans="1:6" ht="15" customHeight="1">
      <c r="A5" s="399" t="s">
        <v>240</v>
      </c>
      <c r="B5" s="399"/>
      <c r="C5" s="399"/>
      <c r="D5" s="399"/>
      <c r="E5" s="399"/>
      <c r="F5" s="399"/>
    </row>
    <row r="6" spans="1:6" ht="17.25" customHeight="1" thickBot="1">
      <c r="A6" s="400" t="s">
        <v>238</v>
      </c>
      <c r="B6" s="400"/>
      <c r="C6" s="400"/>
      <c r="D6" s="400"/>
      <c r="E6" s="400"/>
      <c r="F6" s="400"/>
    </row>
    <row r="7" spans="1:6" ht="28.5" customHeight="1" thickBot="1">
      <c r="A7" s="182" t="s">
        <v>216</v>
      </c>
      <c r="B7" s="183" t="s">
        <v>217</v>
      </c>
      <c r="C7" s="183" t="s">
        <v>156</v>
      </c>
      <c r="D7" s="183" t="s">
        <v>157</v>
      </c>
      <c r="E7" s="183" t="s">
        <v>158</v>
      </c>
      <c r="F7" s="184" t="s">
        <v>218</v>
      </c>
    </row>
    <row r="8" spans="1:6" ht="15" customHeight="1">
      <c r="A8" s="149" t="s">
        <v>10</v>
      </c>
      <c r="B8" s="150">
        <v>2660143.14</v>
      </c>
      <c r="C8" s="150">
        <v>2660143.14</v>
      </c>
      <c r="D8" s="151">
        <v>129950</v>
      </c>
      <c r="E8" s="151"/>
      <c r="F8" s="186">
        <v>-129950</v>
      </c>
    </row>
    <row r="9" spans="1:6" ht="15" customHeight="1">
      <c r="A9" s="154" t="s">
        <v>11</v>
      </c>
      <c r="B9" s="155">
        <v>1435341.05</v>
      </c>
      <c r="C9" s="155">
        <v>1435341.05</v>
      </c>
      <c r="D9" s="156"/>
      <c r="E9" s="156"/>
      <c r="F9" s="186">
        <v>0</v>
      </c>
    </row>
    <row r="10" spans="1:6" ht="15" customHeight="1">
      <c r="A10" s="157" t="s">
        <v>175</v>
      </c>
      <c r="B10" s="155">
        <v>8354.72</v>
      </c>
      <c r="C10" s="156"/>
      <c r="D10" s="156"/>
      <c r="E10" s="156"/>
      <c r="F10" s="186">
        <v>8354.72</v>
      </c>
    </row>
    <row r="11" spans="1:6" ht="15" customHeight="1">
      <c r="A11" s="154" t="s">
        <v>176</v>
      </c>
      <c r="B11" s="155">
        <v>30077</v>
      </c>
      <c r="C11" s="156"/>
      <c r="D11" s="156"/>
      <c r="E11" s="156"/>
      <c r="F11" s="186">
        <v>30077</v>
      </c>
    </row>
    <row r="12" spans="1:6" ht="15" customHeight="1">
      <c r="A12" s="154" t="s">
        <v>177</v>
      </c>
      <c r="B12" s="155">
        <v>1786239.33</v>
      </c>
      <c r="C12" s="155">
        <v>1786239.33</v>
      </c>
      <c r="D12" s="156"/>
      <c r="E12" s="156"/>
      <c r="F12" s="186">
        <v>0</v>
      </c>
    </row>
    <row r="13" spans="1:6" ht="15" customHeight="1">
      <c r="A13" s="154" t="s">
        <v>48</v>
      </c>
      <c r="B13" s="155">
        <v>28406.05</v>
      </c>
      <c r="C13" s="155">
        <v>28406.05</v>
      </c>
      <c r="D13" s="156"/>
      <c r="E13" s="156"/>
      <c r="F13" s="186">
        <v>0</v>
      </c>
    </row>
    <row r="14" spans="1:6" ht="15" customHeight="1">
      <c r="A14" s="154" t="s">
        <v>220</v>
      </c>
      <c r="B14" s="155">
        <v>4700365.99</v>
      </c>
      <c r="C14" s="156">
        <v>4095934.29</v>
      </c>
      <c r="D14" s="156">
        <v>399455</v>
      </c>
      <c r="E14" s="156"/>
      <c r="F14" s="186">
        <v>204976.7</v>
      </c>
    </row>
    <row r="15" spans="1:6" ht="15" customHeight="1">
      <c r="A15" s="154" t="s">
        <v>179</v>
      </c>
      <c r="B15" s="155">
        <v>65166.82</v>
      </c>
      <c r="C15" s="156">
        <v>65166.82</v>
      </c>
      <c r="D15" s="156"/>
      <c r="E15" s="156"/>
      <c r="F15" s="186">
        <v>0</v>
      </c>
    </row>
    <row r="16" spans="1:6" ht="15" customHeight="1">
      <c r="A16" s="154" t="s">
        <v>180</v>
      </c>
      <c r="B16" s="155">
        <v>305782.79</v>
      </c>
      <c r="C16" s="155">
        <v>305782.79</v>
      </c>
      <c r="D16" s="156"/>
      <c r="E16" s="156"/>
      <c r="F16" s="186">
        <v>0</v>
      </c>
    </row>
    <row r="17" spans="1:6" ht="15" customHeight="1">
      <c r="A17" s="154" t="s">
        <v>181</v>
      </c>
      <c r="B17" s="155">
        <v>1199737.92</v>
      </c>
      <c r="C17" s="155">
        <v>1199737.92</v>
      </c>
      <c r="D17" s="156"/>
      <c r="E17" s="156"/>
      <c r="F17" s="186">
        <v>0</v>
      </c>
    </row>
    <row r="18" spans="1:6" ht="15" customHeight="1">
      <c r="A18" s="154" t="s">
        <v>62</v>
      </c>
      <c r="B18" s="155">
        <v>20051.33</v>
      </c>
      <c r="C18" s="155">
        <v>20051.33</v>
      </c>
      <c r="D18" s="156"/>
      <c r="E18" s="156"/>
      <c r="F18" s="186">
        <v>0</v>
      </c>
    </row>
    <row r="19" spans="1:6" ht="15" customHeight="1">
      <c r="A19" s="154" t="s">
        <v>182</v>
      </c>
      <c r="B19" s="155">
        <v>890613.25</v>
      </c>
      <c r="C19" s="155">
        <v>890613.25</v>
      </c>
      <c r="D19" s="156"/>
      <c r="E19" s="156"/>
      <c r="F19" s="186">
        <v>0</v>
      </c>
    </row>
    <row r="20" spans="1:6" ht="15" customHeight="1">
      <c r="A20" s="154" t="s">
        <v>183</v>
      </c>
      <c r="B20" s="155">
        <v>10075793.43</v>
      </c>
      <c r="C20" s="156">
        <v>9342968</v>
      </c>
      <c r="D20" s="156">
        <v>675400</v>
      </c>
      <c r="E20" s="156"/>
      <c r="F20" s="186">
        <v>57425.4299999997</v>
      </c>
    </row>
    <row r="21" spans="1:6" ht="15" customHeight="1">
      <c r="A21" s="154" t="s">
        <v>222</v>
      </c>
      <c r="B21" s="155">
        <v>14473718.52</v>
      </c>
      <c r="C21" s="156">
        <v>12061432.09</v>
      </c>
      <c r="D21" s="156">
        <v>2894744</v>
      </c>
      <c r="E21" s="155">
        <v>2412286.43</v>
      </c>
      <c r="F21" s="186">
        <v>-2894744</v>
      </c>
    </row>
    <row r="22" spans="1:6" ht="15" customHeight="1">
      <c r="A22" s="154" t="s">
        <v>185</v>
      </c>
      <c r="B22" s="155">
        <v>885600.42</v>
      </c>
      <c r="C22" s="156"/>
      <c r="D22" s="156"/>
      <c r="E22" s="156"/>
      <c r="F22" s="186">
        <v>885600.42</v>
      </c>
    </row>
    <row r="23" spans="1:6" ht="15" customHeight="1">
      <c r="A23" s="154" t="s">
        <v>186</v>
      </c>
      <c r="B23" s="155">
        <v>210538.97</v>
      </c>
      <c r="C23" s="155">
        <v>210538.97</v>
      </c>
      <c r="D23" s="156"/>
      <c r="E23" s="156"/>
      <c r="F23" s="186">
        <v>0</v>
      </c>
    </row>
    <row r="24" spans="1:6" ht="15" customHeight="1">
      <c r="A24" s="154" t="s">
        <v>187</v>
      </c>
      <c r="B24" s="155">
        <v>56812.1</v>
      </c>
      <c r="C24" s="155">
        <v>56812.1</v>
      </c>
      <c r="D24" s="156"/>
      <c r="E24" s="156"/>
      <c r="F24" s="186">
        <v>0</v>
      </c>
    </row>
    <row r="25" spans="1:6" ht="15" customHeight="1">
      <c r="A25" s="154" t="s">
        <v>188</v>
      </c>
      <c r="B25" s="155">
        <v>584830.46</v>
      </c>
      <c r="C25" s="155">
        <v>584830.46</v>
      </c>
      <c r="D25" s="156"/>
      <c r="E25" s="156"/>
      <c r="F25" s="186">
        <v>0</v>
      </c>
    </row>
    <row r="26" spans="1:6" ht="15" customHeight="1">
      <c r="A26" s="154" t="s">
        <v>25</v>
      </c>
      <c r="B26" s="155">
        <v>780330.93</v>
      </c>
      <c r="C26" s="156"/>
      <c r="D26" s="156"/>
      <c r="E26" s="156"/>
      <c r="F26" s="186">
        <v>780330.93</v>
      </c>
    </row>
    <row r="27" spans="1:6" ht="15" customHeight="1">
      <c r="A27" s="154" t="s">
        <v>189</v>
      </c>
      <c r="B27" s="155">
        <v>8162562.34</v>
      </c>
      <c r="C27" s="156">
        <v>8162562.34</v>
      </c>
      <c r="D27" s="156">
        <v>1632512</v>
      </c>
      <c r="E27" s="156"/>
      <c r="F27" s="186">
        <v>-1632512</v>
      </c>
    </row>
    <row r="28" spans="1:6" ht="15" customHeight="1">
      <c r="A28" s="154" t="s">
        <v>190</v>
      </c>
      <c r="B28" s="155">
        <v>29362666.67</v>
      </c>
      <c r="C28" s="155">
        <v>29362666.67</v>
      </c>
      <c r="D28" s="156"/>
      <c r="E28" s="156"/>
      <c r="F28" s="186">
        <v>0</v>
      </c>
    </row>
    <row r="29" spans="1:6" ht="15" customHeight="1">
      <c r="A29" s="154" t="s">
        <v>191</v>
      </c>
      <c r="B29" s="155">
        <v>25064.16</v>
      </c>
      <c r="C29" s="155">
        <v>25064.16</v>
      </c>
      <c r="D29" s="156"/>
      <c r="E29" s="156"/>
      <c r="F29" s="186">
        <v>0</v>
      </c>
    </row>
    <row r="30" spans="1:6" ht="15" customHeight="1">
      <c r="A30" s="154" t="s">
        <v>27</v>
      </c>
      <c r="B30" s="155">
        <v>8354.72</v>
      </c>
      <c r="C30" s="155">
        <v>8354.72</v>
      </c>
      <c r="D30" s="156"/>
      <c r="E30" s="156"/>
      <c r="F30" s="186">
        <v>0</v>
      </c>
    </row>
    <row r="31" spans="1:6" ht="15" customHeight="1">
      <c r="A31" s="154" t="s">
        <v>192</v>
      </c>
      <c r="B31" s="155">
        <v>40102.66</v>
      </c>
      <c r="C31" s="156"/>
      <c r="D31" s="156"/>
      <c r="E31" s="156"/>
      <c r="F31" s="186">
        <v>40102.66</v>
      </c>
    </row>
    <row r="32" spans="1:6" ht="15" customHeight="1">
      <c r="A32" s="154" t="s">
        <v>193</v>
      </c>
      <c r="B32" s="155">
        <v>128662.7</v>
      </c>
      <c r="C32" s="155">
        <v>128662.7</v>
      </c>
      <c r="D32" s="156"/>
      <c r="E32" s="156"/>
      <c r="F32" s="186">
        <v>0</v>
      </c>
    </row>
    <row r="33" spans="1:6" ht="15" customHeight="1">
      <c r="A33" s="154" t="s">
        <v>53</v>
      </c>
      <c r="B33" s="155">
        <v>23393.22</v>
      </c>
      <c r="C33" s="155">
        <v>23393.22</v>
      </c>
      <c r="D33" s="156"/>
      <c r="E33" s="156"/>
      <c r="F33" s="186">
        <v>0</v>
      </c>
    </row>
    <row r="34" spans="1:6" ht="15" customHeight="1">
      <c r="A34" s="154" t="s">
        <v>194</v>
      </c>
      <c r="B34" s="155">
        <v>5012.83</v>
      </c>
      <c r="C34" s="155">
        <v>5012.83</v>
      </c>
      <c r="D34" s="156"/>
      <c r="E34" s="156"/>
      <c r="F34" s="186">
        <v>0</v>
      </c>
    </row>
    <row r="35" spans="1:6" ht="15" customHeight="1">
      <c r="A35" s="154" t="s">
        <v>195</v>
      </c>
      <c r="B35" s="155">
        <v>2823895.67</v>
      </c>
      <c r="C35" s="155">
        <v>3400000</v>
      </c>
      <c r="D35" s="156"/>
      <c r="E35" s="156"/>
      <c r="F35" s="186">
        <v>-576104.33</v>
      </c>
    </row>
    <row r="36" spans="1:6" ht="15" customHeight="1">
      <c r="A36" s="154" t="s">
        <v>196</v>
      </c>
      <c r="B36" s="155">
        <v>369278.66</v>
      </c>
      <c r="C36" s="155">
        <v>369278.66</v>
      </c>
      <c r="D36" s="156"/>
      <c r="E36" s="156"/>
      <c r="F36" s="186">
        <v>0</v>
      </c>
    </row>
    <row r="37" spans="1:6" ht="15" customHeight="1">
      <c r="A37" s="154" t="s">
        <v>197</v>
      </c>
      <c r="B37" s="155">
        <v>1134571.1</v>
      </c>
      <c r="C37" s="155">
        <v>1134571.1</v>
      </c>
      <c r="D37" s="156"/>
      <c r="E37" s="156"/>
      <c r="F37" s="186">
        <v>0</v>
      </c>
    </row>
    <row r="38" spans="1:6" ht="15" customHeight="1">
      <c r="A38" s="154" t="s">
        <v>199</v>
      </c>
      <c r="B38" s="155">
        <v>770305.27</v>
      </c>
      <c r="C38" s="155">
        <v>770305.27</v>
      </c>
      <c r="D38" s="156"/>
      <c r="E38" s="156"/>
      <c r="F38" s="186">
        <v>0</v>
      </c>
    </row>
    <row r="39" spans="1:6" ht="15" customHeight="1">
      <c r="A39" s="154" t="s">
        <v>35</v>
      </c>
      <c r="B39" s="155">
        <v>785343.77</v>
      </c>
      <c r="C39" s="155">
        <v>785343.77</v>
      </c>
      <c r="D39" s="156"/>
      <c r="E39" s="156"/>
      <c r="F39" s="186">
        <v>0</v>
      </c>
    </row>
    <row r="40" spans="1:6" ht="15" customHeight="1">
      <c r="A40" s="154" t="s">
        <v>201</v>
      </c>
      <c r="B40" s="155">
        <v>1838038.6</v>
      </c>
      <c r="C40" s="156"/>
      <c r="D40" s="156"/>
      <c r="E40" s="156"/>
      <c r="F40" s="186">
        <v>1838038.6</v>
      </c>
    </row>
    <row r="41" spans="1:6" ht="15" customHeight="1">
      <c r="A41" s="158" t="s">
        <v>203</v>
      </c>
      <c r="B41" s="155">
        <v>85218.15</v>
      </c>
      <c r="C41" s="155">
        <v>85218.15</v>
      </c>
      <c r="D41" s="156"/>
      <c r="E41" s="156"/>
      <c r="F41" s="186">
        <v>0</v>
      </c>
    </row>
    <row r="42" spans="1:6" ht="15" customHeight="1">
      <c r="A42" s="154" t="s">
        <v>204</v>
      </c>
      <c r="B42" s="155">
        <v>137017.42</v>
      </c>
      <c r="C42" s="155">
        <v>137017.42</v>
      </c>
      <c r="D42" s="156"/>
      <c r="E42" s="156"/>
      <c r="F42" s="186">
        <v>0</v>
      </c>
    </row>
    <row r="43" spans="1:6" ht="15" customHeight="1">
      <c r="A43" s="154" t="s">
        <v>206</v>
      </c>
      <c r="B43" s="155">
        <v>4210779.34</v>
      </c>
      <c r="C43" s="156">
        <v>4215179.34</v>
      </c>
      <c r="D43" s="156"/>
      <c r="E43" s="156"/>
      <c r="F43" s="186">
        <v>-4400</v>
      </c>
    </row>
    <row r="44" spans="1:6" ht="15" customHeight="1">
      <c r="A44" s="154" t="s">
        <v>207</v>
      </c>
      <c r="B44" s="155">
        <v>1667602.3</v>
      </c>
      <c r="C44" s="155">
        <v>1667602.3</v>
      </c>
      <c r="D44" s="156"/>
      <c r="E44" s="156"/>
      <c r="F44" s="186">
        <v>0</v>
      </c>
    </row>
    <row r="45" spans="1:6" ht="15" customHeight="1">
      <c r="A45" s="154" t="s">
        <v>208</v>
      </c>
      <c r="B45" s="155">
        <v>2000120.19</v>
      </c>
      <c r="C45" s="156">
        <v>1603345.29</v>
      </c>
      <c r="D45" s="156">
        <v>400024</v>
      </c>
      <c r="E45" s="156"/>
      <c r="F45" s="186">
        <v>-3249.100000000093</v>
      </c>
    </row>
    <row r="46" spans="1:6" ht="15" customHeight="1">
      <c r="A46" s="154" t="s">
        <v>209</v>
      </c>
      <c r="B46" s="155">
        <v>1670.94</v>
      </c>
      <c r="C46" s="156"/>
      <c r="D46" s="156"/>
      <c r="E46" s="156"/>
      <c r="F46" s="186">
        <v>1670.94</v>
      </c>
    </row>
    <row r="47" spans="1:6" ht="15" customHeight="1">
      <c r="A47" s="154" t="s">
        <v>210</v>
      </c>
      <c r="B47" s="155">
        <v>65166.82</v>
      </c>
      <c r="C47" s="156"/>
      <c r="D47" s="156"/>
      <c r="E47" s="156"/>
      <c r="F47" s="186">
        <v>65166.82</v>
      </c>
    </row>
    <row r="48" spans="1:6" ht="15" customHeight="1">
      <c r="A48" s="154" t="s">
        <v>212</v>
      </c>
      <c r="B48" s="155">
        <v>10237875.01</v>
      </c>
      <c r="C48" s="155">
        <v>10237875.01</v>
      </c>
      <c r="D48" s="156"/>
      <c r="E48" s="155"/>
      <c r="F48" s="186">
        <v>0</v>
      </c>
    </row>
    <row r="49" spans="1:6" ht="15" customHeight="1">
      <c r="A49" s="154" t="s">
        <v>213</v>
      </c>
      <c r="B49" s="155">
        <v>29362666.67</v>
      </c>
      <c r="C49" s="156">
        <v>27021167</v>
      </c>
      <c r="D49" s="156"/>
      <c r="E49" s="156">
        <v>2341500</v>
      </c>
      <c r="F49" s="186">
        <v>-0.32999999821186066</v>
      </c>
    </row>
    <row r="50" spans="1:6" ht="15" customHeight="1" thickBot="1">
      <c r="A50" s="159" t="s">
        <v>214</v>
      </c>
      <c r="B50" s="155">
        <v>23393.22</v>
      </c>
      <c r="C50" s="160"/>
      <c r="D50" s="161"/>
      <c r="E50" s="162"/>
      <c r="F50" s="186">
        <v>23393.22</v>
      </c>
    </row>
    <row r="51" spans="1:6" ht="15" customHeight="1" thickBot="1">
      <c r="A51" s="163" t="s">
        <v>2</v>
      </c>
      <c r="B51" s="164">
        <v>133466666.64999998</v>
      </c>
      <c r="C51" s="165">
        <v>123886617.54</v>
      </c>
      <c r="D51" s="166">
        <v>6132085</v>
      </c>
      <c r="E51" s="167">
        <v>4753786.43</v>
      </c>
      <c r="F51" s="167">
        <v>-1305822.32</v>
      </c>
    </row>
    <row r="52" spans="1:6" ht="13.5" customHeight="1" thickBot="1">
      <c r="A52" s="169"/>
      <c r="B52" s="169"/>
      <c r="C52" s="169"/>
      <c r="D52" s="169"/>
      <c r="E52" s="169"/>
      <c r="F52" s="169"/>
    </row>
    <row r="53" spans="1:6" ht="28.5" customHeight="1" thickBot="1">
      <c r="A53" s="363" t="s">
        <v>263</v>
      </c>
      <c r="B53" s="171">
        <v>3589188.1</v>
      </c>
      <c r="C53" s="171">
        <v>1582384.14</v>
      </c>
      <c r="D53" s="171">
        <v>0</v>
      </c>
      <c r="E53" s="171">
        <v>0</v>
      </c>
      <c r="F53" s="171">
        <v>2006803.96</v>
      </c>
    </row>
  </sheetData>
  <mergeCells count="4">
    <mergeCell ref="A1:B1"/>
    <mergeCell ref="A4:F4"/>
    <mergeCell ref="A5:F5"/>
    <mergeCell ref="A6:F6"/>
  </mergeCells>
  <printOptions horizontalCentered="1"/>
  <pageMargins left="0.5" right="0.5" top="1" bottom="1" header="0" footer="0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60"/>
  <sheetViews>
    <sheetView tabSelected="1" zoomScale="75" zoomScaleNormal="75" workbookViewId="0" topLeftCell="A38">
      <selection activeCell="B48" sqref="B48"/>
    </sheetView>
  </sheetViews>
  <sheetFormatPr defaultColWidth="8.796875" defaultRowHeight="15"/>
  <cols>
    <col min="1" max="1" width="21" style="0" customWidth="1"/>
    <col min="2" max="6" width="13.69921875" style="0" customWidth="1"/>
  </cols>
  <sheetData>
    <row r="1" ht="15" customHeight="1">
      <c r="F1" s="206" t="str">
        <f>status!$C$1</f>
        <v>UNEP/OzL.Pro/ExCom/57/L.1</v>
      </c>
    </row>
    <row r="2" ht="15" customHeight="1">
      <c r="F2" s="206" t="s">
        <v>253</v>
      </c>
    </row>
    <row r="3" ht="15" customHeight="1">
      <c r="F3" s="357" t="s">
        <v>252</v>
      </c>
    </row>
    <row r="4" ht="15" customHeight="1">
      <c r="F4" s="4"/>
    </row>
    <row r="5" spans="1:6" ht="15">
      <c r="A5" s="393" t="s">
        <v>125</v>
      </c>
      <c r="B5" s="393"/>
      <c r="C5" s="393"/>
      <c r="D5" s="393"/>
      <c r="E5" s="393"/>
      <c r="F5" s="393"/>
    </row>
    <row r="6" spans="1:6" ht="15">
      <c r="A6" s="371" t="s">
        <v>242</v>
      </c>
      <c r="B6" s="371"/>
      <c r="C6" s="371"/>
      <c r="D6" s="371"/>
      <c r="E6" s="371"/>
      <c r="F6" s="371"/>
    </row>
    <row r="7" spans="1:6" ht="15.75" thickBot="1">
      <c r="A7" s="396" t="s">
        <v>238</v>
      </c>
      <c r="B7" s="396"/>
      <c r="C7" s="396"/>
      <c r="D7" s="396"/>
      <c r="E7" s="396"/>
      <c r="F7" s="396"/>
    </row>
    <row r="8" spans="1:6" ht="27.75" customHeight="1" thickBot="1">
      <c r="A8" s="182" t="s">
        <v>216</v>
      </c>
      <c r="B8" s="183" t="s">
        <v>217</v>
      </c>
      <c r="C8" s="183" t="s">
        <v>156</v>
      </c>
      <c r="D8" s="183" t="s">
        <v>157</v>
      </c>
      <c r="E8" s="183" t="s">
        <v>158</v>
      </c>
      <c r="F8" s="184" t="s">
        <v>218</v>
      </c>
    </row>
    <row r="9" spans="1:6" ht="15" customHeight="1">
      <c r="A9" s="149" t="s">
        <v>10</v>
      </c>
      <c r="B9" s="150">
        <v>7980429.42</v>
      </c>
      <c r="C9" s="151">
        <v>7850479.42</v>
      </c>
      <c r="D9" s="151">
        <v>129950</v>
      </c>
      <c r="E9" s="151">
        <v>0</v>
      </c>
      <c r="F9" s="186">
        <v>0</v>
      </c>
    </row>
    <row r="10" spans="1:6" ht="15">
      <c r="A10" s="154" t="s">
        <v>11</v>
      </c>
      <c r="B10" s="155">
        <v>4306023.15</v>
      </c>
      <c r="C10" s="156">
        <v>4306023.15</v>
      </c>
      <c r="D10" s="156">
        <v>0</v>
      </c>
      <c r="E10" s="156">
        <v>0</v>
      </c>
      <c r="F10" s="186">
        <v>0</v>
      </c>
    </row>
    <row r="11" spans="1:6" ht="15">
      <c r="A11" s="157" t="s">
        <v>175</v>
      </c>
      <c r="B11" s="155">
        <v>25064.16</v>
      </c>
      <c r="C11" s="156">
        <v>0</v>
      </c>
      <c r="D11" s="156">
        <v>0</v>
      </c>
      <c r="E11" s="156">
        <v>0</v>
      </c>
      <c r="F11" s="186">
        <v>25064.16</v>
      </c>
    </row>
    <row r="12" spans="1:6" ht="15">
      <c r="A12" s="154" t="s">
        <v>176</v>
      </c>
      <c r="B12" s="155">
        <v>90231</v>
      </c>
      <c r="C12" s="156">
        <v>0</v>
      </c>
      <c r="D12" s="156">
        <v>0</v>
      </c>
      <c r="E12" s="156">
        <v>0</v>
      </c>
      <c r="F12" s="186">
        <v>90231</v>
      </c>
    </row>
    <row r="13" spans="1:6" ht="15">
      <c r="A13" s="154" t="s">
        <v>177</v>
      </c>
      <c r="B13" s="155">
        <v>5358717.99</v>
      </c>
      <c r="C13" s="156">
        <v>5358717.99</v>
      </c>
      <c r="D13" s="156">
        <v>0</v>
      </c>
      <c r="E13" s="156">
        <v>0</v>
      </c>
      <c r="F13" s="186">
        <v>0</v>
      </c>
    </row>
    <row r="14" spans="1:6" ht="15">
      <c r="A14" s="154" t="s">
        <v>48</v>
      </c>
      <c r="B14" s="155">
        <v>85218.15</v>
      </c>
      <c r="C14" s="155">
        <v>85218.15</v>
      </c>
      <c r="D14" s="156">
        <v>0</v>
      </c>
      <c r="E14" s="156">
        <v>0</v>
      </c>
      <c r="F14" s="186">
        <v>0</v>
      </c>
    </row>
    <row r="15" spans="1:6" ht="15">
      <c r="A15" s="154" t="s">
        <v>220</v>
      </c>
      <c r="B15" s="155">
        <v>14101097.97</v>
      </c>
      <c r="C15" s="156">
        <v>12361110.719999999</v>
      </c>
      <c r="D15" s="156">
        <v>1679487</v>
      </c>
      <c r="E15" s="156">
        <v>0</v>
      </c>
      <c r="F15" s="186">
        <v>60500.25000000186</v>
      </c>
    </row>
    <row r="16" spans="1:6" ht="15">
      <c r="A16" s="154" t="s">
        <v>179</v>
      </c>
      <c r="B16" s="155">
        <v>195500.46</v>
      </c>
      <c r="C16" s="156">
        <v>195500.46</v>
      </c>
      <c r="D16" s="156">
        <v>0</v>
      </c>
      <c r="E16" s="156">
        <v>0</v>
      </c>
      <c r="F16" s="186">
        <v>0</v>
      </c>
    </row>
    <row r="17" spans="1:6" ht="15">
      <c r="A17" s="154" t="s">
        <v>180</v>
      </c>
      <c r="B17" s="155">
        <v>917348.37</v>
      </c>
      <c r="C17" s="156">
        <v>917348.37</v>
      </c>
      <c r="D17" s="156">
        <v>0</v>
      </c>
      <c r="E17" s="156">
        <v>0</v>
      </c>
      <c r="F17" s="186">
        <v>0</v>
      </c>
    </row>
    <row r="18" spans="1:6" ht="15">
      <c r="A18" s="154" t="s">
        <v>181</v>
      </c>
      <c r="B18" s="155">
        <v>3599213.76</v>
      </c>
      <c r="C18" s="155">
        <v>3599213.76</v>
      </c>
      <c r="D18" s="156">
        <v>0</v>
      </c>
      <c r="E18" s="156">
        <v>0</v>
      </c>
      <c r="F18" s="186">
        <v>0</v>
      </c>
    </row>
    <row r="19" spans="1:6" ht="15">
      <c r="A19" s="154" t="s">
        <v>62</v>
      </c>
      <c r="B19" s="155">
        <v>60153.99</v>
      </c>
      <c r="C19" s="155">
        <v>60153.99</v>
      </c>
      <c r="D19" s="156">
        <v>0</v>
      </c>
      <c r="E19" s="156">
        <v>0</v>
      </c>
      <c r="F19" s="186">
        <v>0</v>
      </c>
    </row>
    <row r="20" spans="1:6" ht="15">
      <c r="A20" s="154" t="s">
        <v>182</v>
      </c>
      <c r="B20" s="155">
        <v>2671839.75</v>
      </c>
      <c r="C20" s="155">
        <v>2671839.75</v>
      </c>
      <c r="D20" s="156">
        <v>0</v>
      </c>
      <c r="E20" s="156">
        <v>0</v>
      </c>
      <c r="F20" s="186">
        <v>0</v>
      </c>
    </row>
    <row r="21" spans="1:6" ht="15">
      <c r="A21" s="154" t="s">
        <v>183</v>
      </c>
      <c r="B21" s="155">
        <v>30227380.29</v>
      </c>
      <c r="C21" s="156">
        <v>18630361.43</v>
      </c>
      <c r="D21" s="156">
        <v>2357630</v>
      </c>
      <c r="E21" s="156">
        <v>9148063.43</v>
      </c>
      <c r="F21" s="186">
        <v>91325.4299999997</v>
      </c>
    </row>
    <row r="22" spans="1:6" ht="15">
      <c r="A22" s="154" t="s">
        <v>184</v>
      </c>
      <c r="B22" s="155">
        <v>43421155.56</v>
      </c>
      <c r="C22" s="156">
        <v>20263205.91</v>
      </c>
      <c r="D22" s="156">
        <v>8680493</v>
      </c>
      <c r="E22" s="156">
        <v>14473718.549999999</v>
      </c>
      <c r="F22" s="186">
        <v>3738.1000000033528</v>
      </c>
    </row>
    <row r="23" spans="1:6" ht="15">
      <c r="A23" s="154" t="s">
        <v>185</v>
      </c>
      <c r="B23" s="155">
        <v>2656801.26</v>
      </c>
      <c r="C23" s="156">
        <v>0</v>
      </c>
      <c r="D23" s="156">
        <v>0</v>
      </c>
      <c r="E23" s="156">
        <v>0</v>
      </c>
      <c r="F23" s="186">
        <v>2656801.26</v>
      </c>
    </row>
    <row r="24" spans="1:6" ht="15">
      <c r="A24" s="154" t="s">
        <v>186</v>
      </c>
      <c r="B24" s="155">
        <v>631616.91</v>
      </c>
      <c r="C24" s="155">
        <v>631616.91</v>
      </c>
      <c r="D24" s="156">
        <v>0</v>
      </c>
      <c r="E24" s="156">
        <v>0</v>
      </c>
      <c r="F24" s="186">
        <v>0</v>
      </c>
    </row>
    <row r="25" spans="1:6" ht="15">
      <c r="A25" s="154" t="s">
        <v>187</v>
      </c>
      <c r="B25" s="155">
        <v>170436.3</v>
      </c>
      <c r="C25" s="155">
        <v>170436.3</v>
      </c>
      <c r="D25" s="156">
        <v>0</v>
      </c>
      <c r="E25" s="156">
        <v>0</v>
      </c>
      <c r="F25" s="186">
        <v>0</v>
      </c>
    </row>
    <row r="26" spans="1:6" ht="15">
      <c r="A26" s="154" t="s">
        <v>188</v>
      </c>
      <c r="B26" s="155">
        <v>1754491.38</v>
      </c>
      <c r="C26" s="156">
        <v>1754491.38</v>
      </c>
      <c r="D26" s="156">
        <v>0</v>
      </c>
      <c r="E26" s="156">
        <v>0</v>
      </c>
      <c r="F26" s="186">
        <v>0</v>
      </c>
    </row>
    <row r="27" spans="1:6" ht="15">
      <c r="A27" s="154" t="s">
        <v>25</v>
      </c>
      <c r="B27" s="155">
        <v>2340992.79</v>
      </c>
      <c r="C27" s="156">
        <v>0</v>
      </c>
      <c r="D27" s="156">
        <v>114356</v>
      </c>
      <c r="E27" s="156">
        <v>0</v>
      </c>
      <c r="F27" s="186">
        <v>2226636.79</v>
      </c>
    </row>
    <row r="28" spans="1:6" ht="15">
      <c r="A28" s="154" t="s">
        <v>189</v>
      </c>
      <c r="B28" s="155">
        <v>24487687.02</v>
      </c>
      <c r="C28" s="156">
        <v>19590142.47</v>
      </c>
      <c r="D28" s="156">
        <v>4787018</v>
      </c>
      <c r="E28" s="156">
        <v>0</v>
      </c>
      <c r="F28" s="186">
        <v>110526.55000000075</v>
      </c>
    </row>
    <row r="29" spans="1:6" ht="15">
      <c r="A29" s="154" t="s">
        <v>223</v>
      </c>
      <c r="B29" s="155">
        <v>88088000.01</v>
      </c>
      <c r="C29" s="156">
        <v>88088000.01</v>
      </c>
      <c r="D29" s="156">
        <v>96050</v>
      </c>
      <c r="E29" s="156">
        <v>0</v>
      </c>
      <c r="F29" s="186">
        <v>-96050</v>
      </c>
    </row>
    <row r="30" spans="1:6" ht="15">
      <c r="A30" s="154" t="s">
        <v>191</v>
      </c>
      <c r="B30" s="155">
        <v>75192.48</v>
      </c>
      <c r="C30" s="156">
        <v>75192.48</v>
      </c>
      <c r="D30" s="156">
        <v>0</v>
      </c>
      <c r="E30" s="156">
        <v>0</v>
      </c>
      <c r="F30" s="186">
        <v>0</v>
      </c>
    </row>
    <row r="31" spans="1:6" ht="15">
      <c r="A31" s="154" t="s">
        <v>27</v>
      </c>
      <c r="B31" s="155">
        <v>25064.16</v>
      </c>
      <c r="C31" s="155">
        <v>25064.16</v>
      </c>
      <c r="D31" s="156">
        <v>0</v>
      </c>
      <c r="E31" s="156">
        <v>0</v>
      </c>
      <c r="F31" s="186">
        <v>0</v>
      </c>
    </row>
    <row r="32" spans="1:6" ht="15">
      <c r="A32" s="154" t="s">
        <v>192</v>
      </c>
      <c r="B32" s="155">
        <v>120307.98</v>
      </c>
      <c r="C32" s="156">
        <v>0</v>
      </c>
      <c r="D32" s="156">
        <v>0</v>
      </c>
      <c r="E32" s="156">
        <v>0</v>
      </c>
      <c r="F32" s="186">
        <v>120307.98</v>
      </c>
    </row>
    <row r="33" spans="1:6" ht="15">
      <c r="A33" s="154" t="s">
        <v>193</v>
      </c>
      <c r="B33" s="155">
        <v>385988.1</v>
      </c>
      <c r="C33" s="155">
        <v>385988.1</v>
      </c>
      <c r="D33" s="156">
        <v>0</v>
      </c>
      <c r="E33" s="156">
        <v>0</v>
      </c>
      <c r="F33" s="186">
        <v>0</v>
      </c>
    </row>
    <row r="34" spans="1:6" ht="15">
      <c r="A34" s="154" t="s">
        <v>53</v>
      </c>
      <c r="B34" s="155">
        <v>70179.66</v>
      </c>
      <c r="C34" s="155">
        <v>23393.22</v>
      </c>
      <c r="D34" s="156">
        <v>0</v>
      </c>
      <c r="E34" s="156">
        <v>0</v>
      </c>
      <c r="F34" s="186">
        <v>46786.44</v>
      </c>
    </row>
    <row r="35" spans="1:6" ht="15">
      <c r="A35" s="154" t="s">
        <v>194</v>
      </c>
      <c r="B35" s="155">
        <v>15038.49</v>
      </c>
      <c r="C35" s="155">
        <v>15038.49</v>
      </c>
      <c r="D35" s="156">
        <v>0</v>
      </c>
      <c r="E35" s="156">
        <v>0</v>
      </c>
      <c r="F35" s="186">
        <v>0</v>
      </c>
    </row>
    <row r="36" spans="1:6" ht="15">
      <c r="A36" s="154" t="s">
        <v>195</v>
      </c>
      <c r="B36" s="155">
        <v>8471687.01</v>
      </c>
      <c r="C36" s="155">
        <v>8471687.01</v>
      </c>
      <c r="D36" s="156">
        <v>0</v>
      </c>
      <c r="E36" s="156">
        <v>0</v>
      </c>
      <c r="F36" s="186">
        <v>0</v>
      </c>
    </row>
    <row r="37" spans="1:6" ht="15">
      <c r="A37" s="154" t="s">
        <v>196</v>
      </c>
      <c r="B37" s="155">
        <v>1107835.98</v>
      </c>
      <c r="C37" s="155">
        <v>1107835.98</v>
      </c>
      <c r="D37" s="156">
        <v>0</v>
      </c>
      <c r="E37" s="156">
        <v>0</v>
      </c>
      <c r="F37" s="186">
        <v>0</v>
      </c>
    </row>
    <row r="38" spans="1:6" ht="15">
      <c r="A38" s="154" t="s">
        <v>197</v>
      </c>
      <c r="B38" s="155">
        <v>3403713.3</v>
      </c>
      <c r="C38" s="156">
        <v>3403713.3</v>
      </c>
      <c r="D38" s="156">
        <v>0</v>
      </c>
      <c r="E38" s="156">
        <v>0</v>
      </c>
      <c r="F38" s="186">
        <v>0</v>
      </c>
    </row>
    <row r="39" spans="1:6" ht="15">
      <c r="A39" s="154" t="s">
        <v>199</v>
      </c>
      <c r="B39" s="155">
        <v>2310915.81</v>
      </c>
      <c r="C39" s="155">
        <v>1964897.06</v>
      </c>
      <c r="D39" s="156">
        <v>0</v>
      </c>
      <c r="E39" s="156">
        <v>0</v>
      </c>
      <c r="F39" s="186">
        <v>346018.75</v>
      </c>
    </row>
    <row r="40" spans="1:6" ht="15">
      <c r="A40" s="154" t="s">
        <v>35</v>
      </c>
      <c r="B40" s="155">
        <v>2356031.31</v>
      </c>
      <c r="C40" s="156">
        <v>871909.29</v>
      </c>
      <c r="D40" s="156">
        <v>0</v>
      </c>
      <c r="E40" s="156">
        <v>0</v>
      </c>
      <c r="F40" s="186">
        <v>1484122.02</v>
      </c>
    </row>
    <row r="41" spans="1:6" ht="15">
      <c r="A41" s="154" t="s">
        <v>200</v>
      </c>
      <c r="B41" s="155">
        <v>100122.35</v>
      </c>
      <c r="C41" s="156">
        <v>100122.35</v>
      </c>
      <c r="D41" s="156">
        <v>0</v>
      </c>
      <c r="E41" s="156">
        <v>0</v>
      </c>
      <c r="F41" s="186">
        <v>0</v>
      </c>
    </row>
    <row r="42" spans="1:6" ht="15">
      <c r="A42" s="154" t="s">
        <v>201</v>
      </c>
      <c r="B42" s="155">
        <v>5514115.800000001</v>
      </c>
      <c r="C42" s="156">
        <v>0</v>
      </c>
      <c r="D42" s="156">
        <v>0</v>
      </c>
      <c r="E42" s="156">
        <v>0</v>
      </c>
      <c r="F42" s="186">
        <v>5514115.800000001</v>
      </c>
    </row>
    <row r="43" spans="1:6" ht="15">
      <c r="A43" s="158" t="s">
        <v>203</v>
      </c>
      <c r="B43" s="155">
        <v>255654.45</v>
      </c>
      <c r="C43" s="155">
        <v>255654.45</v>
      </c>
      <c r="D43" s="156">
        <v>0</v>
      </c>
      <c r="E43" s="156">
        <v>0</v>
      </c>
      <c r="F43" s="186">
        <v>0</v>
      </c>
    </row>
    <row r="44" spans="1:6" ht="15">
      <c r="A44" s="154" t="s">
        <v>204</v>
      </c>
      <c r="B44" s="155">
        <v>411052.26</v>
      </c>
      <c r="C44" s="156">
        <v>411052.26</v>
      </c>
      <c r="D44" s="156">
        <v>0</v>
      </c>
      <c r="E44" s="156">
        <v>0</v>
      </c>
      <c r="F44" s="186">
        <v>0</v>
      </c>
    </row>
    <row r="45" spans="1:6" ht="15">
      <c r="A45" s="154" t="s">
        <v>206</v>
      </c>
      <c r="B45" s="155">
        <v>12632338.02</v>
      </c>
      <c r="C45" s="156">
        <v>12470176.02</v>
      </c>
      <c r="D45" s="156">
        <v>731562</v>
      </c>
      <c r="E45" s="156">
        <v>0</v>
      </c>
      <c r="F45" s="186">
        <v>-569400</v>
      </c>
    </row>
    <row r="46" spans="1:6" ht="15">
      <c r="A46" s="154" t="s">
        <v>207</v>
      </c>
      <c r="B46" s="155">
        <v>5002806.9</v>
      </c>
      <c r="C46" s="156">
        <v>5002806.9</v>
      </c>
      <c r="D46" s="156">
        <v>0</v>
      </c>
      <c r="E46" s="156">
        <v>0</v>
      </c>
      <c r="F46" s="186">
        <v>0</v>
      </c>
    </row>
    <row r="47" spans="1:6" ht="15">
      <c r="A47" s="154" t="s">
        <v>208</v>
      </c>
      <c r="B47" s="155">
        <v>6000360.57</v>
      </c>
      <c r="C47" s="156">
        <v>5203788.57</v>
      </c>
      <c r="D47" s="156">
        <v>506557</v>
      </c>
      <c r="E47" s="156">
        <v>0</v>
      </c>
      <c r="F47" s="186">
        <v>290015</v>
      </c>
    </row>
    <row r="48" spans="1:6" ht="15">
      <c r="A48" s="154" t="s">
        <v>209</v>
      </c>
      <c r="B48" s="155">
        <v>5012.82</v>
      </c>
      <c r="C48" s="156">
        <v>0</v>
      </c>
      <c r="D48" s="156">
        <v>0</v>
      </c>
      <c r="E48" s="156">
        <v>0</v>
      </c>
      <c r="F48" s="186">
        <v>5012.82</v>
      </c>
    </row>
    <row r="49" spans="1:6" ht="15">
      <c r="A49" s="154" t="s">
        <v>210</v>
      </c>
      <c r="B49" s="155">
        <v>195500.46</v>
      </c>
      <c r="C49" s="156">
        <v>0</v>
      </c>
      <c r="D49" s="156">
        <v>0</v>
      </c>
      <c r="E49" s="156">
        <v>0</v>
      </c>
      <c r="F49" s="186">
        <v>195500.46</v>
      </c>
    </row>
    <row r="50" spans="1:6" ht="15">
      <c r="A50" s="154" t="s">
        <v>212</v>
      </c>
      <c r="B50" s="155">
        <v>30713625.03</v>
      </c>
      <c r="C50" s="156">
        <v>30713625.03</v>
      </c>
      <c r="D50" s="156">
        <v>0</v>
      </c>
      <c r="E50" s="155">
        <v>0</v>
      </c>
      <c r="F50" s="186">
        <v>0</v>
      </c>
    </row>
    <row r="51" spans="1:6" ht="15">
      <c r="A51" s="154" t="s">
        <v>213</v>
      </c>
      <c r="B51" s="155">
        <v>55218867.010000005</v>
      </c>
      <c r="C51" s="156">
        <v>41494110</v>
      </c>
      <c r="D51" s="156">
        <v>0</v>
      </c>
      <c r="E51" s="156">
        <v>2341500</v>
      </c>
      <c r="F51" s="186">
        <v>11383257.010000005</v>
      </c>
    </row>
    <row r="52" spans="1:6" ht="15.75" thickBot="1">
      <c r="A52" s="159" t="s">
        <v>214</v>
      </c>
      <c r="B52" s="155">
        <v>70179.66</v>
      </c>
      <c r="C52" s="160">
        <v>0</v>
      </c>
      <c r="D52" s="161">
        <v>0</v>
      </c>
      <c r="E52" s="162">
        <v>0</v>
      </c>
      <c r="F52" s="186">
        <v>70179.66</v>
      </c>
    </row>
    <row r="53" spans="1:6" ht="15.75" thickBot="1">
      <c r="A53" s="163" t="s">
        <v>2</v>
      </c>
      <c r="B53" s="164">
        <v>367630989.2999999</v>
      </c>
      <c r="C53" s="165">
        <v>298529914.84</v>
      </c>
      <c r="D53" s="166">
        <v>19083103</v>
      </c>
      <c r="E53" s="167">
        <v>25963281.979999997</v>
      </c>
      <c r="F53" s="167">
        <v>24054689.480000015</v>
      </c>
    </row>
    <row r="54" spans="1:6" ht="15.75" thickBot="1">
      <c r="A54" s="389" t="s">
        <v>265</v>
      </c>
      <c r="B54" s="389"/>
      <c r="C54" s="389"/>
      <c r="D54" s="389"/>
      <c r="E54" s="389"/>
      <c r="F54" s="389"/>
    </row>
    <row r="55" spans="1:6" ht="5.25" customHeight="1">
      <c r="A55" s="389"/>
      <c r="B55" s="389"/>
      <c r="C55" s="389"/>
      <c r="D55" s="389"/>
      <c r="E55" s="389"/>
      <c r="F55" s="389"/>
    </row>
    <row r="56" spans="1:6" ht="15">
      <c r="A56" s="390" t="s">
        <v>264</v>
      </c>
      <c r="B56" s="390"/>
      <c r="C56" s="390"/>
      <c r="D56" s="390"/>
      <c r="E56" s="390"/>
      <c r="F56" s="390"/>
    </row>
    <row r="57" spans="1:6" ht="15">
      <c r="A57" s="153"/>
      <c r="B57" s="153"/>
      <c r="C57" s="153"/>
      <c r="D57" s="153"/>
      <c r="E57" s="153"/>
      <c r="F57" s="153"/>
    </row>
    <row r="58" spans="1:6" ht="15">
      <c r="A58" s="169"/>
      <c r="B58" s="169"/>
      <c r="C58" s="169"/>
      <c r="D58" s="169"/>
      <c r="E58" s="169"/>
      <c r="F58" s="169"/>
    </row>
    <row r="59" spans="1:6" ht="15">
      <c r="A59" s="153"/>
      <c r="B59" s="153"/>
      <c r="C59" s="153"/>
      <c r="D59" s="153"/>
      <c r="E59" s="153"/>
      <c r="F59" s="153"/>
    </row>
    <row r="60" spans="1:6" ht="15">
      <c r="A60" s="173"/>
      <c r="B60" s="153"/>
      <c r="C60" s="153"/>
      <c r="D60" s="153"/>
      <c r="E60" s="153"/>
      <c r="F60" s="153"/>
    </row>
  </sheetData>
  <mergeCells count="5">
    <mergeCell ref="A56:F56"/>
    <mergeCell ref="A5:F5"/>
    <mergeCell ref="A6:F6"/>
    <mergeCell ref="A7:F7"/>
    <mergeCell ref="A54:F55"/>
  </mergeCells>
  <printOptions/>
  <pageMargins left="0.63" right="0.59" top="1" bottom="1" header="0.5" footer="0.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F62"/>
  <sheetViews>
    <sheetView workbookViewId="0" topLeftCell="A7">
      <selection activeCell="A7" sqref="A7:F7"/>
    </sheetView>
  </sheetViews>
  <sheetFormatPr defaultColWidth="8.796875" defaultRowHeight="15"/>
  <cols>
    <col min="1" max="1" width="18.69921875" style="0" customWidth="1"/>
    <col min="2" max="6" width="12.69921875" style="0" customWidth="1"/>
  </cols>
  <sheetData>
    <row r="1" ht="15.75">
      <c r="A1" s="203" t="str">
        <f>status!$C$1</f>
        <v>UNEP/OzL.Pro/ExCom/57/L.1</v>
      </c>
    </row>
    <row r="2" ht="15.75">
      <c r="A2" s="204" t="s">
        <v>123</v>
      </c>
    </row>
    <row r="4" spans="1:6" ht="15">
      <c r="A4" s="393" t="s">
        <v>1</v>
      </c>
      <c r="B4" s="393"/>
      <c r="C4" s="393"/>
      <c r="D4" s="393"/>
      <c r="E4" s="393"/>
      <c r="F4" s="393"/>
    </row>
    <row r="5" spans="1:6" ht="15">
      <c r="A5" s="371" t="s">
        <v>112</v>
      </c>
      <c r="B5" s="371"/>
      <c r="C5" s="371"/>
      <c r="D5" s="371"/>
      <c r="E5" s="371"/>
      <c r="F5" s="371"/>
    </row>
    <row r="6" spans="1:6" ht="15.75" thickBot="1">
      <c r="A6" s="396" t="str">
        <f>status!$A$8</f>
        <v>Al 27 de marzo de 2009</v>
      </c>
      <c r="B6" s="396"/>
      <c r="C6" s="396"/>
      <c r="D6" s="396"/>
      <c r="E6" s="396"/>
      <c r="F6" s="396"/>
    </row>
    <row r="7" spans="1:6" ht="26.25" customHeight="1" thickBot="1">
      <c r="A7" s="208" t="s">
        <v>9</v>
      </c>
      <c r="B7" s="183" t="s">
        <v>60</v>
      </c>
      <c r="C7" s="209" t="s">
        <v>3</v>
      </c>
      <c r="D7" s="183" t="s">
        <v>4</v>
      </c>
      <c r="E7" s="183" t="s">
        <v>5</v>
      </c>
      <c r="F7" s="184" t="s">
        <v>61</v>
      </c>
    </row>
    <row r="8" spans="1:6" ht="15" customHeight="1">
      <c r="A8" s="149" t="s">
        <v>10</v>
      </c>
      <c r="B8" s="150">
        <v>3150805.58</v>
      </c>
      <c r="C8" s="151">
        <v>3150805.58</v>
      </c>
      <c r="D8" s="151"/>
      <c r="E8" s="151"/>
      <c r="F8" s="186">
        <f aca="true" t="shared" si="0" ref="F8:F49">B8-C8-D8-E8</f>
        <v>0</v>
      </c>
    </row>
    <row r="9" spans="1:6" ht="15">
      <c r="A9" s="154" t="s">
        <v>11</v>
      </c>
      <c r="B9" s="155">
        <v>1832846.66</v>
      </c>
      <c r="C9" s="156">
        <v>1832846.66</v>
      </c>
      <c r="D9" s="156"/>
      <c r="E9" s="156"/>
      <c r="F9" s="186">
        <f t="shared" si="0"/>
        <v>0</v>
      </c>
    </row>
    <row r="10" spans="1:6" ht="15">
      <c r="A10" s="157" t="s">
        <v>12</v>
      </c>
      <c r="B10" s="155">
        <v>7684.89164893386</v>
      </c>
      <c r="C10" s="156"/>
      <c r="D10" s="156"/>
      <c r="E10" s="156"/>
      <c r="F10" s="186">
        <f t="shared" si="0"/>
        <v>7684.89164893386</v>
      </c>
    </row>
    <row r="11" spans="1:6" ht="15">
      <c r="A11" s="154" t="s">
        <v>13</v>
      </c>
      <c r="B11" s="155">
        <v>36503.24</v>
      </c>
      <c r="C11" s="156"/>
      <c r="D11" s="156"/>
      <c r="E11" s="156"/>
      <c r="F11" s="186">
        <f t="shared" si="0"/>
        <v>36503.24</v>
      </c>
    </row>
    <row r="12" spans="1:6" ht="15">
      <c r="A12" s="154" t="s">
        <v>14</v>
      </c>
      <c r="B12" s="155">
        <v>2186351.67</v>
      </c>
      <c r="C12" s="156">
        <v>2186351.67</v>
      </c>
      <c r="D12" s="156"/>
      <c r="E12" s="156"/>
      <c r="F12" s="186">
        <f t="shared" si="0"/>
        <v>0</v>
      </c>
    </row>
    <row r="13" spans="1:6" ht="15">
      <c r="A13" s="154" t="s">
        <v>48</v>
      </c>
      <c r="B13" s="155">
        <v>24975.9</v>
      </c>
      <c r="C13" s="155">
        <f>24975.9</f>
        <v>24975.9</v>
      </c>
      <c r="D13" s="156"/>
      <c r="E13" s="156"/>
      <c r="F13" s="186">
        <f t="shared" si="0"/>
        <v>0</v>
      </c>
    </row>
    <row r="14" spans="1:6" ht="15">
      <c r="A14" s="154" t="s">
        <v>15</v>
      </c>
      <c r="B14" s="155">
        <v>4954833.89</v>
      </c>
      <c r="C14" s="156">
        <f>785692+300450.77+21617.15+3963867.1-294802</f>
        <v>4776825.02</v>
      </c>
      <c r="D14" s="156">
        <f>70060+330413-222464-750</f>
        <v>177259</v>
      </c>
      <c r="E14" s="156">
        <f>3963867.1-3963867.1</f>
        <v>0</v>
      </c>
      <c r="F14" s="186">
        <f t="shared" si="0"/>
        <v>749.8700000001118</v>
      </c>
    </row>
    <row r="15" spans="1:6" ht="15">
      <c r="A15" s="154" t="s">
        <v>16</v>
      </c>
      <c r="B15" s="155">
        <v>330450.34</v>
      </c>
      <c r="C15" s="156">
        <v>330450.34</v>
      </c>
      <c r="D15" s="156"/>
      <c r="E15" s="156"/>
      <c r="F15" s="186">
        <f t="shared" si="0"/>
        <v>0</v>
      </c>
    </row>
    <row r="16" spans="1:6" ht="15">
      <c r="A16" s="154" t="s">
        <v>17</v>
      </c>
      <c r="B16" s="155">
        <v>1450523.3</v>
      </c>
      <c r="C16" s="155">
        <v>1450523.3</v>
      </c>
      <c r="D16" s="156"/>
      <c r="E16" s="156"/>
      <c r="F16" s="186">
        <f t="shared" si="0"/>
        <v>0</v>
      </c>
    </row>
    <row r="17" spans="1:6" ht="15">
      <c r="A17" s="154" t="s">
        <v>62</v>
      </c>
      <c r="B17" s="155">
        <v>19212.23</v>
      </c>
      <c r="C17" s="155">
        <v>19212.23</v>
      </c>
      <c r="D17" s="156"/>
      <c r="E17" s="156"/>
      <c r="F17" s="186">
        <f t="shared" si="0"/>
        <v>0</v>
      </c>
    </row>
    <row r="18" spans="1:6" ht="15">
      <c r="A18" s="154" t="s">
        <v>18</v>
      </c>
      <c r="B18" s="155">
        <v>1010563.25</v>
      </c>
      <c r="C18" s="155">
        <v>1010563.25</v>
      </c>
      <c r="D18" s="156"/>
      <c r="E18" s="156"/>
      <c r="F18" s="186">
        <f t="shared" si="0"/>
        <v>0</v>
      </c>
    </row>
    <row r="19" spans="1:6" ht="15">
      <c r="A19" s="154" t="s">
        <v>99</v>
      </c>
      <c r="B19" s="155">
        <v>12518688.5</v>
      </c>
      <c r="C19" s="156">
        <v>9924992.5</v>
      </c>
      <c r="D19" s="156">
        <f>550001+1866000+177695+45765+45560</f>
        <v>2685021</v>
      </c>
      <c r="E19" s="156">
        <v>0</v>
      </c>
      <c r="F19" s="186">
        <f t="shared" si="0"/>
        <v>-91325</v>
      </c>
    </row>
    <row r="20" spans="1:6" ht="15">
      <c r="A20" s="154" t="s">
        <v>100</v>
      </c>
      <c r="B20" s="155">
        <v>18914439.57</v>
      </c>
      <c r="C20" s="156">
        <f>1260962.64+1260962.64+1260962.64+1260962.64+1260962.64+1260962.63</f>
        <v>7565775.829999999</v>
      </c>
      <c r="D20" s="156">
        <f>918527+670454+414056+1527263+252587+1</f>
        <v>3782888</v>
      </c>
      <c r="E20" s="156">
        <f>7565775.83-1260962.64-1260962.64-1260962.64-1260962.64-1260962.64-1260962.63</f>
        <v>0</v>
      </c>
      <c r="F20" s="186">
        <f t="shared" si="0"/>
        <v>7565775.740000002</v>
      </c>
    </row>
    <row r="21" spans="1:6" ht="15">
      <c r="A21" s="154" t="s">
        <v>21</v>
      </c>
      <c r="B21" s="155">
        <v>1043224.04</v>
      </c>
      <c r="C21" s="156"/>
      <c r="D21" s="156"/>
      <c r="E21" s="156"/>
      <c r="F21" s="186">
        <f t="shared" si="0"/>
        <v>1043224.04</v>
      </c>
    </row>
    <row r="22" spans="1:6" ht="15">
      <c r="A22" s="154" t="s">
        <v>22</v>
      </c>
      <c r="B22" s="155">
        <v>232467.97</v>
      </c>
      <c r="C22" s="155">
        <v>232467.97</v>
      </c>
      <c r="D22" s="156"/>
      <c r="E22" s="156"/>
      <c r="F22" s="186">
        <f t="shared" si="0"/>
        <v>0</v>
      </c>
    </row>
    <row r="23" spans="1:6" ht="15">
      <c r="A23" s="154" t="s">
        <v>23</v>
      </c>
      <c r="B23" s="155">
        <v>63400.36</v>
      </c>
      <c r="C23" s="155">
        <v>63400.36</v>
      </c>
      <c r="D23" s="156"/>
      <c r="E23" s="156"/>
      <c r="F23" s="186">
        <f t="shared" si="0"/>
        <v>0</v>
      </c>
    </row>
    <row r="24" spans="1:6" ht="15">
      <c r="A24" s="154" t="s">
        <v>93</v>
      </c>
      <c r="B24" s="155">
        <v>570603.2</v>
      </c>
      <c r="C24" s="156">
        <v>570603.2</v>
      </c>
      <c r="D24" s="156"/>
      <c r="E24" s="156"/>
      <c r="F24" s="186">
        <f t="shared" si="0"/>
        <v>0</v>
      </c>
    </row>
    <row r="25" spans="1:6" ht="15">
      <c r="A25" s="154" t="s">
        <v>25</v>
      </c>
      <c r="B25" s="155">
        <v>803071.18</v>
      </c>
      <c r="C25" s="156"/>
      <c r="D25" s="156"/>
      <c r="E25" s="156"/>
      <c r="F25" s="186">
        <f t="shared" si="0"/>
        <v>803071.18</v>
      </c>
    </row>
    <row r="26" spans="1:6" ht="15">
      <c r="A26" s="154" t="s">
        <v>26</v>
      </c>
      <c r="B26" s="155">
        <v>9805921.74</v>
      </c>
      <c r="C26" s="156">
        <f>7844737.39+1413553.83</f>
        <v>9258291.219999999</v>
      </c>
      <c r="D26" s="156">
        <v>547630.52</v>
      </c>
      <c r="E26" s="156"/>
      <c r="F26" s="186">
        <f t="shared" si="0"/>
        <v>1.3969838619232178E-09</v>
      </c>
    </row>
    <row r="27" spans="1:6" ht="15">
      <c r="A27" s="154" t="s">
        <v>107</v>
      </c>
      <c r="B27" s="155">
        <v>34760000</v>
      </c>
      <c r="C27" s="156">
        <f>34760000-2818307-3559500-791000</f>
        <v>27591193</v>
      </c>
      <c r="D27" s="156">
        <f>2818307+3559500+791000</f>
        <v>7168807</v>
      </c>
      <c r="E27" s="156"/>
      <c r="F27" s="186">
        <f t="shared" si="0"/>
        <v>0</v>
      </c>
    </row>
    <row r="28" spans="1:6" ht="15">
      <c r="A28" s="154" t="s">
        <v>52</v>
      </c>
      <c r="B28" s="155">
        <v>19212.23</v>
      </c>
      <c r="C28" s="156">
        <v>19212</v>
      </c>
      <c r="D28" s="156"/>
      <c r="E28" s="156"/>
      <c r="F28" s="186">
        <f t="shared" si="0"/>
        <v>0.22999999999956344</v>
      </c>
    </row>
    <row r="29" spans="1:6" ht="15">
      <c r="A29" s="154" t="s">
        <v>27</v>
      </c>
      <c r="B29" s="155">
        <v>11527.34</v>
      </c>
      <c r="C29" s="155">
        <v>11527.34</v>
      </c>
      <c r="D29" s="156"/>
      <c r="E29" s="156"/>
      <c r="F29" s="186">
        <f t="shared" si="0"/>
        <v>0</v>
      </c>
    </row>
    <row r="30" spans="1:6" ht="15">
      <c r="A30" s="154" t="s">
        <v>28</v>
      </c>
      <c r="B30" s="155">
        <v>32660.79</v>
      </c>
      <c r="C30" s="156"/>
      <c r="D30" s="156"/>
      <c r="E30" s="156"/>
      <c r="F30" s="186">
        <f t="shared" si="0"/>
        <v>32660.79</v>
      </c>
    </row>
    <row r="31" spans="1:6" ht="15">
      <c r="A31" s="154" t="s">
        <v>29</v>
      </c>
      <c r="B31" s="155">
        <v>153697.83</v>
      </c>
      <c r="C31" s="155">
        <v>153697.83</v>
      </c>
      <c r="D31" s="156"/>
      <c r="E31" s="156"/>
      <c r="F31" s="186">
        <f t="shared" si="0"/>
        <v>0</v>
      </c>
    </row>
    <row r="32" spans="1:6" ht="15">
      <c r="A32" s="154" t="s">
        <v>30</v>
      </c>
      <c r="B32" s="155">
        <v>7684.89</v>
      </c>
      <c r="C32" s="155">
        <v>7684.89</v>
      </c>
      <c r="D32" s="156"/>
      <c r="E32" s="156"/>
      <c r="F32" s="186">
        <f t="shared" si="0"/>
        <v>0</v>
      </c>
    </row>
    <row r="33" spans="1:6" ht="15">
      <c r="A33" s="154" t="s">
        <v>31</v>
      </c>
      <c r="B33" s="155">
        <v>3364061.32</v>
      </c>
      <c r="C33" s="155">
        <v>3364061.32</v>
      </c>
      <c r="D33" s="156"/>
      <c r="E33" s="156">
        <f>3364061.32-3364061.32</f>
        <v>0</v>
      </c>
      <c r="F33" s="186">
        <f t="shared" si="0"/>
        <v>0</v>
      </c>
    </row>
    <row r="34" spans="1:6" ht="15">
      <c r="A34" s="154" t="s">
        <v>32</v>
      </c>
      <c r="B34" s="155">
        <v>466857.17</v>
      </c>
      <c r="C34" s="155">
        <v>466857.17</v>
      </c>
      <c r="D34" s="156"/>
      <c r="E34" s="156"/>
      <c r="F34" s="186">
        <f t="shared" si="0"/>
        <v>0</v>
      </c>
    </row>
    <row r="35" spans="1:6" ht="15">
      <c r="A35" s="154" t="s">
        <v>33</v>
      </c>
      <c r="B35" s="155">
        <v>1252637.34</v>
      </c>
      <c r="C35" s="156">
        <v>1252637.34</v>
      </c>
      <c r="D35" s="156"/>
      <c r="E35" s="156"/>
      <c r="F35" s="186">
        <f t="shared" si="0"/>
        <v>0</v>
      </c>
    </row>
    <row r="36" spans="1:6" ht="15">
      <c r="A36" s="154" t="s">
        <v>34</v>
      </c>
      <c r="B36" s="155">
        <v>612870.11</v>
      </c>
      <c r="C36" s="155">
        <v>612870.11</v>
      </c>
      <c r="D36" s="156"/>
      <c r="E36" s="156"/>
      <c r="F36" s="186">
        <f t="shared" si="0"/>
        <v>0</v>
      </c>
    </row>
    <row r="37" spans="1:6" ht="15">
      <c r="A37" s="154" t="s">
        <v>35</v>
      </c>
      <c r="B37" s="155">
        <v>895289.88</v>
      </c>
      <c r="C37" s="155">
        <v>793589.88</v>
      </c>
      <c r="D37" s="156">
        <v>101700</v>
      </c>
      <c r="E37" s="156"/>
      <c r="F37" s="186">
        <f t="shared" si="0"/>
        <v>0</v>
      </c>
    </row>
    <row r="38" spans="1:6" ht="15">
      <c r="A38" s="154" t="s">
        <v>36</v>
      </c>
      <c r="B38" s="155">
        <v>2305467.49</v>
      </c>
      <c r="C38" s="156"/>
      <c r="D38" s="156"/>
      <c r="E38" s="156"/>
      <c r="F38" s="186">
        <f t="shared" si="0"/>
        <v>2305467.49</v>
      </c>
    </row>
    <row r="39" spans="1:6" ht="15">
      <c r="A39" s="158" t="s">
        <v>96</v>
      </c>
      <c r="B39" s="155">
        <v>82612.59</v>
      </c>
      <c r="C39" s="155">
        <v>82612.59</v>
      </c>
      <c r="D39" s="156"/>
      <c r="E39" s="156"/>
      <c r="F39" s="186">
        <f t="shared" si="0"/>
        <v>0</v>
      </c>
    </row>
    <row r="40" spans="1:6" ht="15">
      <c r="A40" s="154" t="s">
        <v>56</v>
      </c>
      <c r="B40" s="155">
        <v>155619.06</v>
      </c>
      <c r="C40" s="156">
        <v>155619.06</v>
      </c>
      <c r="D40" s="156"/>
      <c r="E40" s="156"/>
      <c r="F40" s="186">
        <f t="shared" si="0"/>
        <v>0</v>
      </c>
    </row>
    <row r="41" spans="1:6" ht="15">
      <c r="A41" s="154" t="s">
        <v>38</v>
      </c>
      <c r="B41" s="155">
        <v>4877984.97</v>
      </c>
      <c r="C41" s="156">
        <v>4082143.97</v>
      </c>
      <c r="D41" s="156">
        <f>655841+135600</f>
        <v>791441</v>
      </c>
      <c r="E41" s="156"/>
      <c r="F41" s="186">
        <f t="shared" si="0"/>
        <v>4399.999999999534</v>
      </c>
    </row>
    <row r="42" spans="1:6" ht="15">
      <c r="A42" s="154" t="s">
        <v>91</v>
      </c>
      <c r="B42" s="155">
        <v>1988465.71</v>
      </c>
      <c r="C42" s="156">
        <f>1590773+200000+6437+250860</f>
        <v>2048070</v>
      </c>
      <c r="D42" s="156">
        <f>135035+23113+185320-250860</f>
        <v>92608</v>
      </c>
      <c r="E42" s="156"/>
      <c r="F42" s="186">
        <f t="shared" si="0"/>
        <v>-152212.29000000004</v>
      </c>
    </row>
    <row r="43" spans="1:6" ht="15">
      <c r="A43" s="154" t="s">
        <v>40</v>
      </c>
      <c r="B43" s="155">
        <v>2447637.99</v>
      </c>
      <c r="C43" s="156">
        <f>305349+2142289</f>
        <v>2447638</v>
      </c>
      <c r="D43" s="156">
        <v>290015</v>
      </c>
      <c r="E43" s="156"/>
      <c r="F43" s="186">
        <f t="shared" si="0"/>
        <v>-290015.0099999998</v>
      </c>
    </row>
    <row r="44" spans="1:6" ht="15">
      <c r="A44" s="154" t="s">
        <v>41</v>
      </c>
      <c r="B44" s="155">
        <v>1921.22</v>
      </c>
      <c r="C44" s="156"/>
      <c r="D44" s="156"/>
      <c r="E44" s="156"/>
      <c r="F44" s="186">
        <f t="shared" si="0"/>
        <v>1921.22</v>
      </c>
    </row>
    <row r="45" spans="1:6" ht="15">
      <c r="A45" s="154" t="s">
        <v>42</v>
      </c>
      <c r="B45" s="155">
        <v>5763.67</v>
      </c>
      <c r="C45" s="155"/>
      <c r="D45" s="156"/>
      <c r="E45" s="156"/>
      <c r="F45" s="186">
        <f t="shared" si="0"/>
        <v>5763.67</v>
      </c>
    </row>
    <row r="46" spans="1:6" ht="15">
      <c r="A46" s="154" t="s">
        <v>43</v>
      </c>
      <c r="B46" s="155">
        <v>101824.81</v>
      </c>
      <c r="C46" s="156"/>
      <c r="D46" s="156"/>
      <c r="E46" s="156"/>
      <c r="F46" s="186">
        <f t="shared" si="0"/>
        <v>101824.81</v>
      </c>
    </row>
    <row r="47" spans="1:6" ht="15">
      <c r="A47" s="154" t="s">
        <v>44</v>
      </c>
      <c r="B47" s="155">
        <v>10718502.63</v>
      </c>
      <c r="C47" s="155">
        <v>10718502.63</v>
      </c>
      <c r="D47" s="156"/>
      <c r="E47" s="155"/>
      <c r="F47" s="186">
        <f t="shared" si="0"/>
        <v>0</v>
      </c>
    </row>
    <row r="48" spans="1:6" ht="15">
      <c r="A48" s="154" t="s">
        <v>45</v>
      </c>
      <c r="B48" s="155">
        <v>34760000</v>
      </c>
      <c r="C48" s="156">
        <f>18000000-357038+4000000+427038+2500000</f>
        <v>24570000</v>
      </c>
      <c r="D48" s="156">
        <v>5375000</v>
      </c>
      <c r="E48" s="156">
        <f>7315000-2500000</f>
        <v>4815000</v>
      </c>
      <c r="F48" s="186">
        <f t="shared" si="0"/>
        <v>0</v>
      </c>
    </row>
    <row r="49" spans="1:6" ht="15.75" thickBot="1">
      <c r="A49" s="159" t="s">
        <v>46</v>
      </c>
      <c r="B49" s="155">
        <v>21133.45</v>
      </c>
      <c r="C49" s="160"/>
      <c r="D49" s="161"/>
      <c r="E49" s="162"/>
      <c r="F49" s="186">
        <f t="shared" si="0"/>
        <v>21133.45</v>
      </c>
    </row>
    <row r="50" spans="1:6" ht="15.75" thickBot="1">
      <c r="A50" s="163" t="s">
        <v>2</v>
      </c>
      <c r="B50" s="164">
        <f>SUM(B8:B49)</f>
        <v>158000000.0016489</v>
      </c>
      <c r="C50" s="165">
        <f>SUM(C8:C49)</f>
        <v>120776002.16</v>
      </c>
      <c r="D50" s="166">
        <f>SUM(D8:D49)</f>
        <v>21012369.52</v>
      </c>
      <c r="E50" s="167">
        <f>SUM(E8:E49)</f>
        <v>4815000</v>
      </c>
      <c r="F50" s="167">
        <f>SUM(F8:F49)</f>
        <v>11396628.321648937</v>
      </c>
    </row>
    <row r="51" spans="1:6" ht="15">
      <c r="A51" s="168"/>
      <c r="B51" s="169"/>
      <c r="C51" s="169"/>
      <c r="D51" s="169"/>
      <c r="E51" s="169"/>
      <c r="F51" s="169"/>
    </row>
    <row r="52" spans="1:6" ht="15">
      <c r="A52" s="168"/>
      <c r="B52" s="169"/>
      <c r="C52" s="169"/>
      <c r="D52" s="169"/>
      <c r="E52" s="169"/>
      <c r="F52" s="169"/>
    </row>
    <row r="53" spans="1:6" ht="15">
      <c r="A53" s="168"/>
      <c r="B53" s="169"/>
      <c r="C53" s="169"/>
      <c r="D53" s="169"/>
      <c r="E53" s="169"/>
      <c r="F53" s="169"/>
    </row>
    <row r="54" spans="1:6" ht="15">
      <c r="A54" s="153"/>
      <c r="B54" s="153"/>
      <c r="C54" s="153"/>
      <c r="D54" s="153"/>
      <c r="E54" s="153"/>
      <c r="F54" s="153"/>
    </row>
    <row r="55" spans="1:6" ht="15.75" thickBot="1">
      <c r="A55" s="169"/>
      <c r="B55" s="169"/>
      <c r="C55" s="169"/>
      <c r="D55" s="169"/>
      <c r="E55" s="169"/>
      <c r="F55" s="169"/>
    </row>
    <row r="56" spans="1:6" ht="15.75" thickBot="1">
      <c r="A56" s="170" t="s">
        <v>67</v>
      </c>
      <c r="B56" s="171">
        <f>B10+B11+B13+B15+B17+B22+B28+B30+B36+B38+B39+B40+B44+B45+B46+B49</f>
        <v>3990379.9916489343</v>
      </c>
      <c r="C56" s="171">
        <f>C10+C11+C13+C15+C17+C22+C28+C30+C36+C38+C39+C40+C44+C45+C46+C49</f>
        <v>1477420.2000000002</v>
      </c>
      <c r="D56" s="171">
        <f>D10+D11+D13+D15+D17+D22+D28+D30+D36+D38+D39+D40+D44+D45+D46+D49</f>
        <v>0</v>
      </c>
      <c r="E56" s="171">
        <f>E10+E11+E13+E15+E17+E22+E28+E30+E36+E38+E39+E40+E44+E45+E46+E49</f>
        <v>0</v>
      </c>
      <c r="F56" s="172">
        <f>B56-C56-D56-E56</f>
        <v>2512959.791648934</v>
      </c>
    </row>
    <row r="57" spans="1:6" ht="15">
      <c r="A57" s="153"/>
      <c r="B57" s="153"/>
      <c r="C57" s="153"/>
      <c r="D57" s="153"/>
      <c r="E57" s="153"/>
      <c r="F57" s="153"/>
    </row>
    <row r="58" spans="1:6" ht="15">
      <c r="A58" s="173"/>
      <c r="B58" s="153"/>
      <c r="C58" s="153"/>
      <c r="D58" s="153"/>
      <c r="E58" s="153"/>
      <c r="F58" s="153"/>
    </row>
    <row r="59" spans="1:6" ht="15">
      <c r="A59" s="153"/>
      <c r="B59" s="153"/>
      <c r="C59" s="153"/>
      <c r="D59" s="153"/>
      <c r="E59" s="153"/>
      <c r="F59" s="153"/>
    </row>
    <row r="60" spans="1:6" ht="15">
      <c r="A60" s="153"/>
      <c r="B60" s="153"/>
      <c r="C60" s="153"/>
      <c r="D60" s="153"/>
      <c r="E60" s="153"/>
      <c r="F60" s="153"/>
    </row>
    <row r="61" spans="1:6" ht="15">
      <c r="A61" s="153"/>
      <c r="B61" s="153"/>
      <c r="C61" s="153"/>
      <c r="D61" s="153"/>
      <c r="E61" s="153"/>
      <c r="F61" s="153"/>
    </row>
    <row r="62" spans="1:6" ht="15">
      <c r="A62" s="153"/>
      <c r="B62" s="153"/>
      <c r="C62" s="153"/>
      <c r="D62" s="153"/>
      <c r="E62" s="153"/>
      <c r="F62" s="153"/>
    </row>
  </sheetData>
  <mergeCells count="3">
    <mergeCell ref="A4:F4"/>
    <mergeCell ref="A5:F5"/>
    <mergeCell ref="A6:F6"/>
  </mergeCells>
  <printOptions/>
  <pageMargins left="0.7" right="0.35" top="0.57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1.  p1 - SITUACIÓN DEL FONDO</dc:title>
  <dc:subject/>
  <dc:creator/>
  <cp:keywords/>
  <dc:description/>
  <cp:lastModifiedBy>Julia Anne Dearing</cp:lastModifiedBy>
  <cp:lastPrinted>2009-04-03T15:45:35Z</cp:lastPrinted>
  <dcterms:created xsi:type="dcterms:W3CDTF">1998-10-09T21:20:25Z</dcterms:created>
  <dcterms:modified xsi:type="dcterms:W3CDTF">2009-04-03T16:13:43Z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-1044045428</vt:i4>
  </property>
  <property fmtid="{D5CDD505-2E9C-101B-9397-08002B2CF9AE}" pid="3" name="_EmailSubject">
    <vt:lpwstr/>
  </property>
  <property fmtid="{D5CDD505-2E9C-101B-9397-08002B2CF9AE}" pid="4" name="_AuthorEmail">
    <vt:lpwstr>liliana@unmfs.org</vt:lpwstr>
  </property>
  <property fmtid="{D5CDD505-2E9C-101B-9397-08002B2CF9AE}" pid="5" name="_AuthorEmailDisplayName">
    <vt:lpwstr>Liliana Gutierrez</vt:lpwstr>
  </property>
  <property fmtid="{D5CDD505-2E9C-101B-9397-08002B2CF9AE}" pid="6" name="_ReviewingToolsShownOnce">
    <vt:lpwstr/>
  </property>
  <property fmtid="{D5CDD505-2E9C-101B-9397-08002B2CF9AE}" pid="7" name="Document Number">
    <vt:lpwstr>UNEP/OzL.Pro/ExCom/57/L.1</vt:lpwstr>
  </property>
  <property fmtid="{D5CDD505-2E9C-101B-9397-08002B2CF9AE}" pid="8" name="SortNumber">
    <vt:lpwstr>2.00000000000000</vt:lpwstr>
  </property>
</Properties>
</file>