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84th\Docs\"/>
    </mc:Choice>
  </mc:AlternateContent>
  <bookViews>
    <workbookView xWindow="-28920" yWindow="-480" windowWidth="29040" windowHeight="15840"/>
  </bookViews>
  <sheets>
    <sheet name="Annex I" sheetId="1" r:id="rId1"/>
    <sheet name="Sheet2" sheetId="2" r:id="rId2"/>
  </sheets>
  <definedNames>
    <definedName name="_xlnm.Print_Area" localSheetId="0">'Annex I'!$A$1:$Z$133</definedName>
    <definedName name="Z_266E5F35_F9B4_4BB5_8B70_8AEB574E8C1B_.wvu.Cols" localSheetId="0" hidden="1">'Annex I'!#REF!,'Annex I'!#REF!,'Annex I'!#REF!</definedName>
    <definedName name="Z_266E5F35_F9B4_4BB5_8B70_8AEB574E8C1B_.wvu.PrintArea" localSheetId="0" hidden="1">'Annex I'!$A$1:$M$126</definedName>
    <definedName name="Z_3A3ACD92_4BE4_4AF5_B44B_172D609FF364_.wvu.Cols" localSheetId="0" hidden="1">'Annex I'!#REF!,'Annex I'!#REF!,'Annex I'!#REF!,'Annex I'!#REF!</definedName>
    <definedName name="Z_3A3ACD92_4BE4_4AF5_B44B_172D609FF364_.wvu.PrintArea" localSheetId="0" hidden="1">'Annex I'!$A$1:$G$126</definedName>
    <definedName name="Z_4D2EAD97_02B0_4E92_BD2A_3B6E8A26CA89_.wvu.Cols" localSheetId="0" hidden="1">'Annex I'!#REF!,'Annex I'!#REF!,'Annex I'!#REF!,'Annex I'!#REF!</definedName>
    <definedName name="Z_4D2EAD97_02B0_4E92_BD2A_3B6E8A26CA89_.wvu.PrintArea" localSheetId="0" hidden="1">'Annex I'!$A$1:$G$126</definedName>
    <definedName name="Z_6A890FF5_51FC_43A8_BB60_440D42174E94_.wvu.Cols" localSheetId="0" hidden="1">'Annex I'!#REF!,'Annex I'!#REF!,'Annex I'!#REF!,'Annex I'!#REF!</definedName>
    <definedName name="Z_6A890FF5_51FC_43A8_BB60_440D42174E94_.wvu.PrintArea" localSheetId="0" hidden="1">'Annex I'!$A$1:$G$126</definedName>
    <definedName name="Z_9E85A010_A679_47B1_9621_9C31884E92E9_.wvu.Cols" localSheetId="0" hidden="1">'Annex I'!#REF!,'Annex I'!#REF!,'Annex I'!#REF!</definedName>
    <definedName name="Z_9E85A010_A679_47B1_9621_9C31884E92E9_.wvu.PrintArea" localSheetId="0" hidden="1">'Annex I'!$A$1:$M$126</definedName>
    <definedName name="Z_AB5A6890_4B2C_4F1B_AA28_3B0FC3CC14E0_.wvu.Cols" localSheetId="0" hidden="1">'Annex I'!#REF!,'Annex I'!#REF!,'Annex I'!#REF!,'Annex I'!#REF!</definedName>
    <definedName name="Z_AB5A6890_4B2C_4F1B_AA28_3B0FC3CC14E0_.wvu.PrintArea" localSheetId="0" hidden="1">'Annex I'!$A$1:$C$126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Y119" i="1" l="1"/>
  <c r="Y120" i="1" s="1"/>
  <c r="Y109" i="1"/>
  <c r="Y94" i="1"/>
  <c r="Y85" i="1"/>
  <c r="Y80" i="1"/>
  <c r="Y71" i="1"/>
  <c r="Y56" i="1"/>
  <c r="Y32" i="1" l="1"/>
  <c r="X13" i="1"/>
  <c r="Y13" i="1" s="1"/>
  <c r="W15" i="2" l="1"/>
  <c r="S29" i="2"/>
  <c r="S19" i="2"/>
  <c r="T19" i="2"/>
  <c r="J123" i="1"/>
  <c r="F120" i="1"/>
  <c r="F117" i="1"/>
  <c r="F109" i="1"/>
  <c r="F106" i="1"/>
  <c r="P120" i="1"/>
  <c r="O119" i="1"/>
  <c r="O120" i="1" s="1"/>
  <c r="I120" i="1"/>
  <c r="D119" i="1"/>
  <c r="D120" i="1" s="1"/>
  <c r="X119" i="1"/>
  <c r="X120" i="1" s="1"/>
  <c r="W119" i="1"/>
  <c r="W120" i="1" s="1"/>
  <c r="U119" i="1"/>
  <c r="U120" i="1" s="1"/>
  <c r="R119" i="1"/>
  <c r="R120" i="1" s="1"/>
  <c r="Q119" i="1"/>
  <c r="Q120" i="1" s="1"/>
  <c r="L119" i="1"/>
  <c r="L120" i="1" s="1"/>
  <c r="M119" i="1"/>
  <c r="L117" i="1"/>
  <c r="L109" i="1"/>
  <c r="L106" i="1"/>
  <c r="E119" i="1"/>
  <c r="H119" i="1" s="1"/>
  <c r="N118" i="1"/>
  <c r="W117" i="1"/>
  <c r="U117" i="1"/>
  <c r="R117" i="1"/>
  <c r="Q117" i="1"/>
  <c r="P117" i="1"/>
  <c r="O117" i="1"/>
  <c r="I117" i="1"/>
  <c r="D111" i="1"/>
  <c r="D112" i="1"/>
  <c r="G112" i="1" s="1"/>
  <c r="N116" i="1"/>
  <c r="J116" i="1"/>
  <c r="N115" i="1"/>
  <c r="J115" i="1"/>
  <c r="X114" i="1"/>
  <c r="Y114" i="1" s="1"/>
  <c r="N114" i="1"/>
  <c r="J114" i="1"/>
  <c r="X113" i="1"/>
  <c r="Y113" i="1" s="1"/>
  <c r="N113" i="1"/>
  <c r="J113" i="1"/>
  <c r="X112" i="1"/>
  <c r="Y112" i="1" s="1"/>
  <c r="E112" i="1"/>
  <c r="H112" i="1" s="1"/>
  <c r="X111" i="1"/>
  <c r="Y111" i="1" s="1"/>
  <c r="Y117" i="1" s="1"/>
  <c r="N111" i="1"/>
  <c r="J111" i="1"/>
  <c r="E111" i="1"/>
  <c r="N110" i="1"/>
  <c r="X109" i="1"/>
  <c r="W109" i="1"/>
  <c r="U109" i="1"/>
  <c r="R109" i="1"/>
  <c r="Q109" i="1"/>
  <c r="P109" i="1"/>
  <c r="O109" i="1"/>
  <c r="I109" i="1"/>
  <c r="D108" i="1"/>
  <c r="D109" i="1" s="1"/>
  <c r="E108" i="1"/>
  <c r="H108" i="1" s="1"/>
  <c r="N107" i="1"/>
  <c r="W106" i="1"/>
  <c r="U106" i="1"/>
  <c r="R106" i="1"/>
  <c r="Q106" i="1"/>
  <c r="P106" i="1"/>
  <c r="O106" i="1"/>
  <c r="I106" i="1"/>
  <c r="D101" i="1"/>
  <c r="D102" i="1"/>
  <c r="G102" i="1" s="1"/>
  <c r="M102" i="1" s="1"/>
  <c r="N102" i="1" s="1"/>
  <c r="N105" i="1"/>
  <c r="J105" i="1"/>
  <c r="N104" i="1"/>
  <c r="J104" i="1"/>
  <c r="X103" i="1"/>
  <c r="N103" i="1"/>
  <c r="J103" i="1"/>
  <c r="E102" i="1"/>
  <c r="H102" i="1" s="1"/>
  <c r="E101" i="1"/>
  <c r="H101" i="1" s="1"/>
  <c r="J101" i="1" s="1"/>
  <c r="N100" i="1"/>
  <c r="N99" i="1"/>
  <c r="X96" i="1"/>
  <c r="W97" i="1"/>
  <c r="U97" i="1"/>
  <c r="R97" i="1"/>
  <c r="Q97" i="1"/>
  <c r="P97" i="1"/>
  <c r="O97" i="1"/>
  <c r="O94" i="1"/>
  <c r="O90" i="1"/>
  <c r="M97" i="1"/>
  <c r="L97" i="1"/>
  <c r="I97" i="1"/>
  <c r="I94" i="1"/>
  <c r="I90" i="1"/>
  <c r="H97" i="1"/>
  <c r="G97" i="1"/>
  <c r="F97" i="1"/>
  <c r="E97" i="1"/>
  <c r="D97" i="1"/>
  <c r="N96" i="1"/>
  <c r="J96" i="1"/>
  <c r="J97" i="1" s="1"/>
  <c r="N95" i="1"/>
  <c r="X94" i="1"/>
  <c r="W94" i="1"/>
  <c r="U94" i="1"/>
  <c r="R94" i="1"/>
  <c r="Q94" i="1"/>
  <c r="P94" i="1"/>
  <c r="M94" i="1"/>
  <c r="L94" i="1"/>
  <c r="H94" i="1"/>
  <c r="G94" i="1"/>
  <c r="F94" i="1"/>
  <c r="D92" i="1"/>
  <c r="D94" i="1" s="1"/>
  <c r="N93" i="1"/>
  <c r="J93" i="1"/>
  <c r="N92" i="1"/>
  <c r="J92" i="1"/>
  <c r="E92" i="1"/>
  <c r="E94" i="1" s="1"/>
  <c r="N91" i="1"/>
  <c r="U90" i="1"/>
  <c r="R90" i="1"/>
  <c r="Q90" i="1"/>
  <c r="P90" i="1"/>
  <c r="L90" i="1"/>
  <c r="F90" i="1"/>
  <c r="E89" i="1"/>
  <c r="H89" i="1" s="1"/>
  <c r="J89" i="1" s="1"/>
  <c r="D89" i="1"/>
  <c r="G89" i="1" s="1"/>
  <c r="M89" i="1" s="1"/>
  <c r="N89" i="1" s="1"/>
  <c r="W88" i="1"/>
  <c r="W90" i="1" s="1"/>
  <c r="E88" i="1"/>
  <c r="H88" i="1" s="1"/>
  <c r="D88" i="1"/>
  <c r="G88" i="1" s="1"/>
  <c r="N87" i="1"/>
  <c r="N86" i="1"/>
  <c r="X85" i="1"/>
  <c r="W85" i="1"/>
  <c r="R85" i="1"/>
  <c r="P85" i="1"/>
  <c r="O85" i="1"/>
  <c r="L85" i="1"/>
  <c r="I85" i="1"/>
  <c r="H85" i="1"/>
  <c r="G85" i="1"/>
  <c r="F85" i="1"/>
  <c r="E84" i="1"/>
  <c r="E85" i="1" s="1"/>
  <c r="U84" i="1"/>
  <c r="U85" i="1" s="1"/>
  <c r="Q84" i="1"/>
  <c r="Q85" i="1" s="1"/>
  <c r="M84" i="1"/>
  <c r="M85" i="1" s="1"/>
  <c r="J84" i="1"/>
  <c r="D84" i="1"/>
  <c r="N83" i="1"/>
  <c r="J83" i="1"/>
  <c r="D83" i="1"/>
  <c r="N82" i="1"/>
  <c r="N81" i="1"/>
  <c r="X80" i="1"/>
  <c r="W80" i="1"/>
  <c r="U80" i="1"/>
  <c r="R80" i="1"/>
  <c r="Q80" i="1"/>
  <c r="P80" i="1"/>
  <c r="O80" i="1"/>
  <c r="M80" i="1"/>
  <c r="L80" i="1"/>
  <c r="I80" i="1"/>
  <c r="H80" i="1"/>
  <c r="G80" i="1"/>
  <c r="F80" i="1"/>
  <c r="E80" i="1"/>
  <c r="D80" i="1"/>
  <c r="N79" i="1"/>
  <c r="N78" i="1"/>
  <c r="N77" i="1"/>
  <c r="N76" i="1"/>
  <c r="N75" i="1"/>
  <c r="J75" i="1"/>
  <c r="J80" i="1" s="1"/>
  <c r="N74" i="1"/>
  <c r="K72" i="1"/>
  <c r="K126" i="1" s="1"/>
  <c r="X71" i="1"/>
  <c r="W71" i="1"/>
  <c r="U71" i="1"/>
  <c r="R71" i="1"/>
  <c r="Q71" i="1"/>
  <c r="P71" i="1"/>
  <c r="O71" i="1"/>
  <c r="M71" i="1"/>
  <c r="L71" i="1"/>
  <c r="I71" i="1"/>
  <c r="H71" i="1"/>
  <c r="G71" i="1"/>
  <c r="F71" i="1"/>
  <c r="N70" i="1"/>
  <c r="J70" i="1"/>
  <c r="E70" i="1"/>
  <c r="E71" i="1" s="1"/>
  <c r="D70" i="1"/>
  <c r="N69" i="1"/>
  <c r="J69" i="1"/>
  <c r="D69" i="1"/>
  <c r="E51" i="1"/>
  <c r="E52" i="1"/>
  <c r="E53" i="1"/>
  <c r="E54" i="1"/>
  <c r="E34" i="1"/>
  <c r="E43" i="1"/>
  <c r="X56" i="1"/>
  <c r="W56" i="1"/>
  <c r="R54" i="1"/>
  <c r="R56" i="1" s="1"/>
  <c r="R49" i="1"/>
  <c r="P56" i="1"/>
  <c r="M52" i="1"/>
  <c r="N52" i="1" s="1"/>
  <c r="M53" i="1"/>
  <c r="M54" i="1"/>
  <c r="I56" i="1"/>
  <c r="I49" i="1"/>
  <c r="H54" i="1"/>
  <c r="H56" i="1" s="1"/>
  <c r="F56" i="1"/>
  <c r="D51" i="1"/>
  <c r="D52" i="1"/>
  <c r="D53" i="1"/>
  <c r="D54" i="1"/>
  <c r="N55" i="1"/>
  <c r="U54" i="1"/>
  <c r="U56" i="1" s="1"/>
  <c r="U49" i="1"/>
  <c r="Q54" i="1"/>
  <c r="O54" i="1"/>
  <c r="O56" i="1" s="1"/>
  <c r="L54" i="1"/>
  <c r="L49" i="1"/>
  <c r="G54" i="1"/>
  <c r="G56" i="1" s="1"/>
  <c r="J53" i="1"/>
  <c r="Q52" i="1"/>
  <c r="J52" i="1"/>
  <c r="N51" i="1"/>
  <c r="J51" i="1"/>
  <c r="N50" i="1"/>
  <c r="X35" i="1"/>
  <c r="Y35" i="1" s="1"/>
  <c r="X36" i="1"/>
  <c r="Y36" i="1" s="1"/>
  <c r="X37" i="1"/>
  <c r="Y37" i="1" s="1"/>
  <c r="X38" i="1"/>
  <c r="Y38" i="1" s="1"/>
  <c r="X39" i="1"/>
  <c r="Y39" i="1" s="1"/>
  <c r="X40" i="1"/>
  <c r="Y40" i="1" s="1"/>
  <c r="X41" i="1"/>
  <c r="Y41" i="1" s="1"/>
  <c r="X42" i="1"/>
  <c r="Y42" i="1" s="1"/>
  <c r="X43" i="1"/>
  <c r="X44" i="1"/>
  <c r="Y44" i="1" s="1"/>
  <c r="X45" i="1"/>
  <c r="Y45" i="1" s="1"/>
  <c r="X46" i="1"/>
  <c r="Y46" i="1" s="1"/>
  <c r="X47" i="1"/>
  <c r="Y47" i="1" s="1"/>
  <c r="X48" i="1"/>
  <c r="Y48" i="1" s="1"/>
  <c r="W49" i="1"/>
  <c r="W32" i="1"/>
  <c r="W29" i="1"/>
  <c r="P49" i="1"/>
  <c r="O49" i="1"/>
  <c r="O32" i="1"/>
  <c r="O29" i="1"/>
  <c r="G49" i="1"/>
  <c r="F49" i="1"/>
  <c r="F57" i="1" s="1"/>
  <c r="N48" i="1"/>
  <c r="J48" i="1"/>
  <c r="M47" i="1"/>
  <c r="N47" i="1" s="1"/>
  <c r="J47" i="1"/>
  <c r="M46" i="1"/>
  <c r="N46" i="1" s="1"/>
  <c r="H46" i="1"/>
  <c r="J46" i="1" s="1"/>
  <c r="N45" i="1"/>
  <c r="J45" i="1"/>
  <c r="M44" i="1"/>
  <c r="N44" i="1" s="1"/>
  <c r="J44" i="1"/>
  <c r="N43" i="1"/>
  <c r="J43" i="1"/>
  <c r="J35" i="1"/>
  <c r="J36" i="1"/>
  <c r="J37" i="1"/>
  <c r="J38" i="1"/>
  <c r="J39" i="1"/>
  <c r="J40" i="1"/>
  <c r="J41" i="1"/>
  <c r="J42" i="1"/>
  <c r="D43" i="1"/>
  <c r="M42" i="1"/>
  <c r="N42" i="1" s="1"/>
  <c r="M41" i="1"/>
  <c r="N41" i="1" s="1"/>
  <c r="M40" i="1"/>
  <c r="N40" i="1" s="1"/>
  <c r="M39" i="1"/>
  <c r="N39" i="1" s="1"/>
  <c r="M38" i="1"/>
  <c r="N38" i="1" s="1"/>
  <c r="M37" i="1"/>
  <c r="N37" i="1" s="1"/>
  <c r="Q36" i="1"/>
  <c r="Q49" i="1" s="1"/>
  <c r="M36" i="1"/>
  <c r="N36" i="1" s="1"/>
  <c r="M35" i="1"/>
  <c r="N35" i="1" s="1"/>
  <c r="N34" i="1"/>
  <c r="D34" i="1"/>
  <c r="N33" i="1"/>
  <c r="X32" i="1"/>
  <c r="U32" i="1"/>
  <c r="R32" i="1"/>
  <c r="Q32" i="1"/>
  <c r="P32" i="1"/>
  <c r="M32" i="1"/>
  <c r="L32" i="1"/>
  <c r="N32" i="1" s="1"/>
  <c r="I32" i="1"/>
  <c r="G32" i="1"/>
  <c r="F32" i="1"/>
  <c r="E32" i="1"/>
  <c r="D32" i="1"/>
  <c r="N31" i="1"/>
  <c r="H31" i="1"/>
  <c r="H32" i="1" s="1"/>
  <c r="N30" i="1"/>
  <c r="R29" i="1"/>
  <c r="P29" i="1"/>
  <c r="L29" i="1"/>
  <c r="I29" i="1"/>
  <c r="F29" i="1"/>
  <c r="E26" i="1"/>
  <c r="E27" i="1"/>
  <c r="N28" i="1"/>
  <c r="X27" i="1"/>
  <c r="Y27" i="1" s="1"/>
  <c r="Q27" i="1"/>
  <c r="H27" i="1"/>
  <c r="J27" i="1" s="1"/>
  <c r="G27" i="1"/>
  <c r="M27" i="1" s="1"/>
  <c r="N27" i="1" s="1"/>
  <c r="D27" i="1"/>
  <c r="X26" i="1"/>
  <c r="Y26" i="1" s="1"/>
  <c r="Q26" i="1"/>
  <c r="G26" i="1"/>
  <c r="M26" i="1" s="1"/>
  <c r="N26" i="1" s="1"/>
  <c r="H26" i="1"/>
  <c r="J26" i="1" s="1"/>
  <c r="D26" i="1"/>
  <c r="X25" i="1"/>
  <c r="Y25" i="1" s="1"/>
  <c r="M25" i="1"/>
  <c r="N25" i="1" s="1"/>
  <c r="J25" i="1"/>
  <c r="X24" i="1"/>
  <c r="Y24" i="1" s="1"/>
  <c r="G24" i="1"/>
  <c r="M24" i="1" s="1"/>
  <c r="N24" i="1" s="1"/>
  <c r="H24" i="1"/>
  <c r="J24" i="1" s="1"/>
  <c r="X23" i="1"/>
  <c r="Y23" i="1" s="1"/>
  <c r="U29" i="1"/>
  <c r="U123" i="1" s="1"/>
  <c r="M23" i="1"/>
  <c r="N23" i="1" s="1"/>
  <c r="J23" i="1"/>
  <c r="X22" i="1"/>
  <c r="Y22" i="1" s="1"/>
  <c r="M22" i="1"/>
  <c r="N22" i="1" s="1"/>
  <c r="J22" i="1"/>
  <c r="X21" i="1"/>
  <c r="Y21" i="1" s="1"/>
  <c r="M21" i="1"/>
  <c r="N21" i="1" s="1"/>
  <c r="J21" i="1"/>
  <c r="X20" i="1"/>
  <c r="Y20" i="1" s="1"/>
  <c r="M20" i="1"/>
  <c r="N20" i="1" s="1"/>
  <c r="J20" i="1"/>
  <c r="X19" i="1"/>
  <c r="Y19" i="1" s="1"/>
  <c r="M19" i="1"/>
  <c r="N19" i="1" s="1"/>
  <c r="J19" i="1"/>
  <c r="X18" i="1"/>
  <c r="Y18" i="1" s="1"/>
  <c r="M18" i="1"/>
  <c r="N18" i="1" s="1"/>
  <c r="J18" i="1"/>
  <c r="X17" i="1"/>
  <c r="Y17" i="1" s="1"/>
  <c r="M17" i="1"/>
  <c r="N17" i="1" s="1"/>
  <c r="J17" i="1"/>
  <c r="X16" i="1"/>
  <c r="Y16" i="1" s="1"/>
  <c r="M16" i="1"/>
  <c r="N16" i="1" s="1"/>
  <c r="J16" i="1"/>
  <c r="X15" i="1"/>
  <c r="Y15" i="1" s="1"/>
  <c r="M15" i="1"/>
  <c r="N15" i="1" s="1"/>
  <c r="J15" i="1"/>
  <c r="X14" i="1"/>
  <c r="Y14" i="1" s="1"/>
  <c r="G14" i="1"/>
  <c r="M14" i="1" s="1"/>
  <c r="N14" i="1" s="1"/>
  <c r="H14" i="1"/>
  <c r="J14" i="1" s="1"/>
  <c r="H13" i="1"/>
  <c r="J13" i="1" s="1"/>
  <c r="G13" i="1"/>
  <c r="M13" i="1" s="1"/>
  <c r="N13" i="1" s="1"/>
  <c r="X88" i="1"/>
  <c r="P57" i="1" l="1"/>
  <c r="U57" i="1"/>
  <c r="D49" i="1"/>
  <c r="D90" i="1"/>
  <c r="D98" i="1" s="1"/>
  <c r="E29" i="1"/>
  <c r="J94" i="1"/>
  <c r="N54" i="1"/>
  <c r="X90" i="1"/>
  <c r="Y88" i="1"/>
  <c r="Y90" i="1" s="1"/>
  <c r="H49" i="1"/>
  <c r="H57" i="1" s="1"/>
  <c r="U72" i="1"/>
  <c r="D71" i="1"/>
  <c r="N71" i="1"/>
  <c r="N80" i="1"/>
  <c r="L98" i="1"/>
  <c r="G108" i="1"/>
  <c r="G109" i="1" s="1"/>
  <c r="P121" i="1"/>
  <c r="X106" i="1"/>
  <c r="Y103" i="1"/>
  <c r="Y106" i="1" s="1"/>
  <c r="Y121" i="1" s="1"/>
  <c r="L123" i="1"/>
  <c r="N123" i="1" s="1"/>
  <c r="X97" i="1"/>
  <c r="Y96" i="1"/>
  <c r="Y97" i="1" s="1"/>
  <c r="D85" i="1"/>
  <c r="P98" i="1"/>
  <c r="P72" i="1"/>
  <c r="Y29" i="1"/>
  <c r="Y49" i="1"/>
  <c r="Y57" i="1" s="1"/>
  <c r="J85" i="1"/>
  <c r="N97" i="1"/>
  <c r="F121" i="1"/>
  <c r="D29" i="1"/>
  <c r="D123" i="1" s="1"/>
  <c r="Q56" i="1"/>
  <c r="Q57" i="1" s="1"/>
  <c r="Q72" i="1" s="1"/>
  <c r="R57" i="1"/>
  <c r="R72" i="1" s="1"/>
  <c r="J71" i="1"/>
  <c r="D117" i="1"/>
  <c r="X29" i="1"/>
  <c r="Q29" i="1"/>
  <c r="G119" i="1"/>
  <c r="G120" i="1" s="1"/>
  <c r="E117" i="1"/>
  <c r="H29" i="1"/>
  <c r="M56" i="1"/>
  <c r="E49" i="1"/>
  <c r="I98" i="1"/>
  <c r="D106" i="1"/>
  <c r="D121" i="1" s="1"/>
  <c r="X117" i="1"/>
  <c r="R123" i="1"/>
  <c r="I57" i="1"/>
  <c r="I72" i="1" s="1"/>
  <c r="W121" i="1"/>
  <c r="W57" i="1"/>
  <c r="W72" i="1" s="1"/>
  <c r="W98" i="1"/>
  <c r="I121" i="1"/>
  <c r="F98" i="1"/>
  <c r="U98" i="1"/>
  <c r="R98" i="1"/>
  <c r="R121" i="1"/>
  <c r="H90" i="1"/>
  <c r="H98" i="1" s="1"/>
  <c r="N84" i="1"/>
  <c r="W123" i="1"/>
  <c r="J31" i="1"/>
  <c r="J32" i="1" s="1"/>
  <c r="L56" i="1"/>
  <c r="L57" i="1" s="1"/>
  <c r="L72" i="1" s="1"/>
  <c r="E56" i="1"/>
  <c r="E57" i="1" s="1"/>
  <c r="F72" i="1"/>
  <c r="N119" i="1"/>
  <c r="O121" i="1"/>
  <c r="J49" i="1"/>
  <c r="X49" i="1"/>
  <c r="X57" i="1" s="1"/>
  <c r="G57" i="1"/>
  <c r="E90" i="1"/>
  <c r="E98" i="1" s="1"/>
  <c r="U121" i="1"/>
  <c r="M49" i="1"/>
  <c r="E106" i="1"/>
  <c r="J54" i="1"/>
  <c r="J56" i="1" s="1"/>
  <c r="O57" i="1"/>
  <c r="O72" i="1" s="1"/>
  <c r="D56" i="1"/>
  <c r="N94" i="1"/>
  <c r="O98" i="1"/>
  <c r="Q98" i="1"/>
  <c r="Q121" i="1"/>
  <c r="H106" i="1"/>
  <c r="J102" i="1"/>
  <c r="J106" i="1" s="1"/>
  <c r="H109" i="1"/>
  <c r="J108" i="1"/>
  <c r="J109" i="1" s="1"/>
  <c r="H120" i="1"/>
  <c r="J119" i="1"/>
  <c r="J120" i="1" s="1"/>
  <c r="G90" i="1"/>
  <c r="G98" i="1" s="1"/>
  <c r="M88" i="1"/>
  <c r="J112" i="1"/>
  <c r="J117" i="1" s="1"/>
  <c r="H117" i="1"/>
  <c r="G117" i="1"/>
  <c r="M112" i="1"/>
  <c r="J29" i="1"/>
  <c r="J88" i="1"/>
  <c r="J90" i="1" s="1"/>
  <c r="J98" i="1" s="1"/>
  <c r="L121" i="1"/>
  <c r="G29" i="1"/>
  <c r="G123" i="1" s="1"/>
  <c r="N53" i="1"/>
  <c r="G101" i="1"/>
  <c r="E109" i="1"/>
  <c r="M120" i="1"/>
  <c r="E120" i="1"/>
  <c r="M29" i="1"/>
  <c r="D57" i="1" l="1"/>
  <c r="D72" i="1" s="1"/>
  <c r="M57" i="1"/>
  <c r="E72" i="1"/>
  <c r="E123" i="1"/>
  <c r="Y123" i="1"/>
  <c r="Y98" i="1"/>
  <c r="X121" i="1"/>
  <c r="H72" i="1"/>
  <c r="I122" i="1"/>
  <c r="I124" i="1" s="1"/>
  <c r="I126" i="1" s="1"/>
  <c r="M108" i="1"/>
  <c r="M109" i="1" s="1"/>
  <c r="N109" i="1" s="1"/>
  <c r="X98" i="1"/>
  <c r="P122" i="1"/>
  <c r="P124" i="1" s="1"/>
  <c r="P126" i="1" s="1"/>
  <c r="F122" i="1"/>
  <c r="F124" i="1" s="1"/>
  <c r="Y72" i="1"/>
  <c r="Y122" i="1" s="1"/>
  <c r="Y124" i="1" s="1"/>
  <c r="Y126" i="1" s="1"/>
  <c r="X123" i="1"/>
  <c r="X72" i="1"/>
  <c r="W122" i="1"/>
  <c r="W124" i="1" s="1"/>
  <c r="W126" i="1" s="1"/>
  <c r="Q122" i="1"/>
  <c r="Q124" i="1" s="1"/>
  <c r="Q126" i="1" s="1"/>
  <c r="O122" i="1"/>
  <c r="O124" i="1" s="1"/>
  <c r="O126" i="1" s="1"/>
  <c r="E121" i="1"/>
  <c r="E122" i="1" s="1"/>
  <c r="E124" i="1" s="1"/>
  <c r="E126" i="1" s="1"/>
  <c r="G72" i="1"/>
  <c r="R122" i="1"/>
  <c r="R124" i="1" s="1"/>
  <c r="R126" i="1" s="1"/>
  <c r="J57" i="1"/>
  <c r="J72" i="1" s="1"/>
  <c r="M72" i="1"/>
  <c r="N72" i="1" s="1"/>
  <c r="U122" i="1"/>
  <c r="U124" i="1" s="1"/>
  <c r="U126" i="1" s="1"/>
  <c r="N108" i="1"/>
  <c r="M90" i="1"/>
  <c r="N88" i="1"/>
  <c r="N120" i="1"/>
  <c r="L122" i="1"/>
  <c r="L124" i="1" s="1"/>
  <c r="L126" i="1" s="1"/>
  <c r="D122" i="1"/>
  <c r="D124" i="1" s="1"/>
  <c r="D126" i="1" s="1"/>
  <c r="J121" i="1"/>
  <c r="G106" i="1"/>
  <c r="G121" i="1" s="1"/>
  <c r="G122" i="1" s="1"/>
  <c r="G124" i="1" s="1"/>
  <c r="G126" i="1" s="1"/>
  <c r="M101" i="1"/>
  <c r="N112" i="1"/>
  <c r="M117" i="1"/>
  <c r="N117" i="1" s="1"/>
  <c r="H121" i="1"/>
  <c r="H122" i="1" l="1"/>
  <c r="H124" i="1" s="1"/>
  <c r="H126" i="1" s="1"/>
  <c r="X122" i="1"/>
  <c r="X124" i="1"/>
  <c r="X126" i="1" s="1"/>
  <c r="J122" i="1"/>
  <c r="J124" i="1" s="1"/>
  <c r="J126" i="1" s="1"/>
  <c r="N101" i="1"/>
  <c r="M106" i="1"/>
  <c r="N106" i="1" s="1"/>
  <c r="N90" i="1"/>
  <c r="M98" i="1"/>
  <c r="N98" i="1" s="1"/>
  <c r="M121" i="1" l="1"/>
  <c r="M122" i="1" l="1"/>
  <c r="N121" i="1"/>
  <c r="M124" i="1" l="1"/>
  <c r="M126" i="1" s="1"/>
  <c r="N122" i="1"/>
  <c r="N124" i="1" s="1"/>
</calcChain>
</file>

<file path=xl/sharedStrings.xml><?xml version="1.0" encoding="utf-8"?>
<sst xmlns="http://schemas.openxmlformats.org/spreadsheetml/2006/main" count="248" uniqueCount="140">
  <si>
    <t>Page 1</t>
  </si>
  <si>
    <t xml:space="preserve">A </t>
  </si>
  <si>
    <t>B</t>
  </si>
  <si>
    <t>C</t>
  </si>
  <si>
    <t xml:space="preserve">D </t>
  </si>
  <si>
    <t>D</t>
  </si>
  <si>
    <t>E</t>
  </si>
  <si>
    <t>A</t>
  </si>
  <si>
    <t>Approved</t>
  </si>
  <si>
    <t>Revised</t>
  </si>
  <si>
    <t>Actual</t>
  </si>
  <si>
    <t>Difference</t>
  </si>
  <si>
    <t xml:space="preserve">Unrecorded 2015 expenditures </t>
  </si>
  <si>
    <t xml:space="preserve">Approved </t>
  </si>
  <si>
    <t>Comments</t>
  </si>
  <si>
    <t>Project Personnel (Title &amp; Grade)</t>
  </si>
  <si>
    <t>01</t>
  </si>
  <si>
    <t>Chief Officer (D2)</t>
  </si>
  <si>
    <t>02</t>
  </si>
  <si>
    <r>
      <t>Deputy Chief Officer (D1)</t>
    </r>
    <r>
      <rPr>
        <i/>
        <sz val="12"/>
        <rFont val="Times New Roman"/>
        <family val="1"/>
      </rPr>
      <t/>
    </r>
  </si>
  <si>
    <t>03</t>
  </si>
  <si>
    <t xml:space="preserve">Programme Management Officer (P4) </t>
  </si>
  <si>
    <t>04</t>
  </si>
  <si>
    <t>05</t>
  </si>
  <si>
    <t>06</t>
  </si>
  <si>
    <t>07</t>
  </si>
  <si>
    <t>08</t>
  </si>
  <si>
    <t>Information Management Officer (P4)</t>
  </si>
  <si>
    <t>09</t>
  </si>
  <si>
    <t>10</t>
  </si>
  <si>
    <t xml:space="preserve">Senior Monitoring and Evaluation Officer (P5) </t>
  </si>
  <si>
    <t>11</t>
  </si>
  <si>
    <t>12</t>
  </si>
  <si>
    <t>14</t>
  </si>
  <si>
    <t>Programme Management Officer (P4)</t>
  </si>
  <si>
    <t>15</t>
  </si>
  <si>
    <t>Associate Administrative Officer (P2)</t>
  </si>
  <si>
    <t>16</t>
  </si>
  <si>
    <t>Associate Database Officer (P2)</t>
  </si>
  <si>
    <t>98</t>
  </si>
  <si>
    <t xml:space="preserve">Prior Year </t>
  </si>
  <si>
    <t>Sub-Total</t>
  </si>
  <si>
    <t>Consultants</t>
  </si>
  <si>
    <t>Projects and technical reviews etc.</t>
  </si>
  <si>
    <t>Administrative Support Personnel</t>
  </si>
  <si>
    <t xml:space="preserve">Administrative Assistant (G7) </t>
  </si>
  <si>
    <t xml:space="preserve">Meeting Services Assistant (G7) </t>
  </si>
  <si>
    <t xml:space="preserve">Database Assistant (G7) </t>
  </si>
  <si>
    <t>Funded from programme support costs</t>
  </si>
  <si>
    <t>Conference Servicing Cost</t>
  </si>
  <si>
    <t xml:space="preserve">Meeting Services: ExCom </t>
  </si>
  <si>
    <t xml:space="preserve">Temporary Assistance </t>
  </si>
  <si>
    <t>ExCom costs</t>
  </si>
  <si>
    <t xml:space="preserve">TOTAL ADMINISTRATIVE SUPPORT </t>
  </si>
  <si>
    <t>Page 2</t>
  </si>
  <si>
    <t>Travel on official business</t>
  </si>
  <si>
    <t>Mission costs</t>
  </si>
  <si>
    <t xml:space="preserve">Network meetings (4) </t>
  </si>
  <si>
    <t>Allocation for four network meetings a year</t>
  </si>
  <si>
    <t>1699</t>
  </si>
  <si>
    <t>COMPONENT TOTAL</t>
  </si>
  <si>
    <t>CONTRACTUAL COMPONENT</t>
  </si>
  <si>
    <t>Sub-contracts</t>
  </si>
  <si>
    <t>Treasury services (decision 59/51(b))</t>
  </si>
  <si>
    <t>Fixed fees per the agreement with the Treasurer (decision 59/51(b))</t>
  </si>
  <si>
    <t>Corporate consultancies</t>
  </si>
  <si>
    <t>Subcontracts</t>
  </si>
  <si>
    <t>Various studies</t>
  </si>
  <si>
    <t>Corporate contracts</t>
  </si>
  <si>
    <t>MEETING PARTICIPATION COMPONENT</t>
  </si>
  <si>
    <t>Travel and DSA for Article 5 delegates to Executive Committee meetings</t>
  </si>
  <si>
    <t>Travel of Chairperson and Vice-Chairperson</t>
  </si>
  <si>
    <t>EQUIPMENT COMPONENT</t>
  </si>
  <si>
    <t>Expendables</t>
  </si>
  <si>
    <t>Office stationery</t>
  </si>
  <si>
    <t xml:space="preserve">Based on anticipated needs  </t>
  </si>
  <si>
    <t>Computer expendable (software, accessories, hubs, switches, memory)</t>
  </si>
  <si>
    <t>Non-Expendable Equipment</t>
  </si>
  <si>
    <t>Computers, printers</t>
  </si>
  <si>
    <t>Other expendable equipment (shelves, furnitures)</t>
  </si>
  <si>
    <t>Premises</t>
  </si>
  <si>
    <t>MISCELLANEOUS COMPONENT</t>
  </si>
  <si>
    <t>Operation and Maintenance of Equipment</t>
  </si>
  <si>
    <t>Computers and printers, etc. (toners, colour printer)</t>
  </si>
  <si>
    <t>Maintenance of office premises</t>
  </si>
  <si>
    <t>Rental of photocopiers (office)</t>
  </si>
  <si>
    <t xml:space="preserve">Telecommunication equipment rental </t>
  </si>
  <si>
    <t>Network maintenance</t>
  </si>
  <si>
    <t>Reproduction Costs</t>
  </si>
  <si>
    <t xml:space="preserve">ExCom and reports to MOP </t>
  </si>
  <si>
    <t>Sundries</t>
  </si>
  <si>
    <t>Communications</t>
  </si>
  <si>
    <t>Freight charges</t>
  </si>
  <si>
    <t>Bank charges</t>
  </si>
  <si>
    <t xml:space="preserve">Based on anticipated needs </t>
  </si>
  <si>
    <t>Staff training</t>
  </si>
  <si>
    <t>GST</t>
  </si>
  <si>
    <t>PST</t>
  </si>
  <si>
    <t>Hospitality and Entertainment</t>
  </si>
  <si>
    <t xml:space="preserve">Hospitality costs </t>
  </si>
  <si>
    <t>GRAND TOTAL</t>
  </si>
  <si>
    <t>Programme support costs (9%)</t>
  </si>
  <si>
    <t xml:space="preserve">Applied to staff cost only </t>
  </si>
  <si>
    <t>COST TO MULTILATERAL FUND</t>
  </si>
  <si>
    <t xml:space="preserve">Previous budget schedule </t>
  </si>
  <si>
    <t>Increase/decrease</t>
  </si>
  <si>
    <t>D18,850</t>
  </si>
  <si>
    <t>US $54,526 to be charged to the budget. Balance to be covered by Government of Canada cost differential and allocation to be reduced</t>
  </si>
  <si>
    <t>UNEP/OzL.Pro/ExCom/80/59</t>
  </si>
  <si>
    <t xml:space="preserve"> APPROVED 2019, 2020, 2021 AND PROPOSED 2022 BUDGETS OF THE FUND SECRETARIAT</t>
  </si>
  <si>
    <t xml:space="preserve">Proposed </t>
  </si>
  <si>
    <t>Based on two meetings in 2019-2022</t>
  </si>
  <si>
    <t xml:space="preserve">Based on tentative travel plan schedule </t>
  </si>
  <si>
    <t xml:space="preserve"> Travel other than attendance to Executive Committee meetings</t>
  </si>
  <si>
    <t xml:space="preserve">Executive Committee (2 ) </t>
  </si>
  <si>
    <t>Rental of office premises**</t>
  </si>
  <si>
    <t>**Rental of premises will be offset by US $625,246 (based on 2018) being covered by cost differential with Government of Canada leaving US $54,526 to be charged to the MLF.</t>
  </si>
  <si>
    <t>Programme Management Officer (P3)</t>
  </si>
  <si>
    <t>UNEP/OzL.Pro/ExCom/84/8</t>
  </si>
  <si>
    <t>Annex I</t>
  </si>
  <si>
    <t>Post proposed for an upgrade to P3</t>
  </si>
  <si>
    <t>Post proposed for an upgrade to G5</t>
  </si>
  <si>
    <r>
      <t>2019</t>
    </r>
    <r>
      <rPr>
        <vertAlign val="superscript"/>
        <sz val="14"/>
        <rFont val="Times New Roman"/>
        <family val="1"/>
      </rPr>
      <t>(1)</t>
    </r>
  </si>
  <si>
    <t>PERSONNEL COMPONENT*</t>
  </si>
  <si>
    <t>*Personnel costs under BLs 1100 and 1300 will be reduced by US $301,265 based on 2018 actual cost differentials between staff cost in Montreal and staff cost in Nairobi covered by the Government of Canada.</t>
  </si>
  <si>
    <t>Meeting Services: ExCom</t>
  </si>
  <si>
    <t xml:space="preserve">Finance and Budget Assistant (G6) </t>
  </si>
  <si>
    <t>Funded from programme support costs and post proposed for an upgrade to G7</t>
  </si>
  <si>
    <t>Based on two meetings a year</t>
  </si>
  <si>
    <t>All staff costs are based on standard salary cost and adjusted based on actual cost with a 3% annual increase</t>
  </si>
  <si>
    <r>
      <rPr>
        <vertAlign val="superscript"/>
        <sz val="12"/>
        <rFont val="Times New Roman"/>
        <family val="1"/>
      </rPr>
      <t>(1)</t>
    </r>
    <r>
      <rPr>
        <sz val="12"/>
        <rFont val="Times New Roman"/>
        <family val="1"/>
      </rPr>
      <t xml:space="preserve"> Does not include allocation for 2018 unrecorded expenditures amounting to US $97,506: US $79,849 for meeting services: ExCom (BL 1334); US $7,734 for computer expendable (BL 4102); US $8,100 for computers and printers , etc. (BL 5101); and US $1,823 for hospitality costs (BL 5401).</t>
    </r>
  </si>
  <si>
    <t>Team Assistant (G4)</t>
  </si>
  <si>
    <t>Senior Programme Management Officer (P5)</t>
  </si>
  <si>
    <t>Chief, Information Systems Unit (P4)</t>
  </si>
  <si>
    <t xml:space="preserve">Programme Management Assistant  (G6) </t>
  </si>
  <si>
    <t xml:space="preserve">Programme Management Assistant  (G5) </t>
  </si>
  <si>
    <t xml:space="preserve">Information Technology Assistant (G6) </t>
  </si>
  <si>
    <t>Administrative Assistant (G6)</t>
  </si>
  <si>
    <t>Senior Human Resources Assistant (G7)</t>
  </si>
  <si>
    <t>Senior Administrative and Fund Management Officer (P5)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</si>
</sst>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#,##0.00_);\-#,##0.00"/>
    <numFmt numFmtId="167" formatCode="_(* #,##0_);_(* \(#,##0\);_(* &quot;-&quot;??_);_(@_)"/>
  </numFmts>
  <fonts count="20" x14ac:knownFonts="1">
    <font>
      <sz val="10"/>
      <name val="Times New Roman"/>
    </font>
    <font>
      <sz val="14"/>
      <name val="Times New Roman"/>
      <family val="1"/>
    </font>
    <font>
      <sz val="14"/>
      <color rgb="FFFF0000"/>
      <name val="Times New Roman"/>
      <family val="1"/>
    </font>
    <font>
      <sz val="16"/>
      <name val="Times New Roman"/>
      <family val="1"/>
    </font>
    <font>
      <sz val="16"/>
      <color rgb="FFFF000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4"/>
      <color rgb="FFFF0000"/>
      <name val="Times New Roman"/>
      <family val="1"/>
    </font>
    <font>
      <sz val="10"/>
      <color indexed="8"/>
      <name val="MS Sans Serif"/>
      <family val="2"/>
    </font>
    <font>
      <sz val="14"/>
      <color indexed="8"/>
      <name val="Arial"/>
      <family val="2"/>
    </font>
    <font>
      <sz val="14"/>
      <color theme="8" tint="-0.249977111117893"/>
      <name val="Times New Roman"/>
      <family val="1"/>
    </font>
    <font>
      <i/>
      <sz val="12"/>
      <name val="Times New Roman"/>
      <family val="1"/>
    </font>
    <font>
      <sz val="10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vertAlign val="superscript"/>
      <sz val="14"/>
      <name val="Times New Roman"/>
      <family val="1"/>
    </font>
    <font>
      <vertAlign val="superscript"/>
      <sz val="12"/>
      <name val="Times New Roman"/>
      <family val="1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5A5A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165" fontId="12" fillId="0" borderId="0" applyFont="0" applyFill="0" applyBorder="0" applyAlignment="0" applyProtection="0"/>
    <xf numFmtId="0" fontId="8" fillId="0" borderId="0"/>
    <xf numFmtId="0" fontId="12" fillId="0" borderId="0"/>
    <xf numFmtId="0" fontId="19" fillId="5" borderId="12" applyNumberFormat="0" applyAlignment="0" applyProtection="0"/>
  </cellStyleXfs>
  <cellXfs count="171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/>
    </xf>
    <xf numFmtId="0" fontId="1" fillId="0" borderId="0" xfId="0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6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1" fillId="0" borderId="2" xfId="0" applyFont="1" applyFill="1" applyBorder="1"/>
    <xf numFmtId="0" fontId="1" fillId="0" borderId="1" xfId="0" applyFont="1" applyFill="1" applyBorder="1"/>
    <xf numFmtId="0" fontId="1" fillId="0" borderId="3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vertical="top"/>
    </xf>
    <xf numFmtId="9" fontId="1" fillId="0" borderId="1" xfId="0" applyNumberFormat="1" applyFont="1" applyFill="1" applyBorder="1" applyAlignment="1">
      <alignment horizontal="center" vertical="top"/>
    </xf>
    <xf numFmtId="9" fontId="1" fillId="0" borderId="5" xfId="0" applyNumberFormat="1" applyFont="1" applyFill="1" applyBorder="1" applyAlignment="1">
      <alignment horizontal="center" vertical="top"/>
    </xf>
    <xf numFmtId="9" fontId="2" fillId="0" borderId="5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vertical="top"/>
    </xf>
    <xf numFmtId="0" fontId="2" fillId="0" borderId="5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166" fontId="9" fillId="2" borderId="0" xfId="2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vertical="top"/>
    </xf>
    <xf numFmtId="164" fontId="1" fillId="0" borderId="1" xfId="0" applyNumberFormat="1" applyFont="1" applyFill="1" applyBorder="1" applyAlignment="1">
      <alignment vertical="top"/>
    </xf>
    <xf numFmtId="164" fontId="1" fillId="0" borderId="5" xfId="0" applyNumberFormat="1" applyFont="1" applyFill="1" applyBorder="1" applyAlignment="1">
      <alignment vertical="top"/>
    </xf>
    <xf numFmtId="164" fontId="10" fillId="0" borderId="5" xfId="0" applyNumberFormat="1" applyFont="1" applyFill="1" applyBorder="1" applyAlignment="1">
      <alignment vertical="top"/>
    </xf>
    <xf numFmtId="166" fontId="9" fillId="2" borderId="0" xfId="2" applyNumberFormat="1" applyFont="1" applyFill="1" applyBorder="1" applyAlignment="1">
      <alignment horizontal="left" vertical="center"/>
    </xf>
    <xf numFmtId="0" fontId="1" fillId="3" borderId="0" xfId="0" applyFont="1" applyFill="1"/>
    <xf numFmtId="164" fontId="2" fillId="0" borderId="5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vertical="top"/>
    </xf>
    <xf numFmtId="164" fontId="1" fillId="2" borderId="0" xfId="0" applyNumberFormat="1" applyFont="1" applyFill="1" applyBorder="1"/>
    <xf numFmtId="0" fontId="1" fillId="2" borderId="0" xfId="0" applyFont="1" applyFill="1"/>
    <xf numFmtId="0" fontId="1" fillId="0" borderId="1" xfId="3" applyFont="1" applyFill="1" applyBorder="1" applyAlignment="1">
      <alignment vertical="top"/>
    </xf>
    <xf numFmtId="164" fontId="1" fillId="0" borderId="1" xfId="3" applyNumberFormat="1" applyFont="1" applyFill="1" applyBorder="1" applyAlignment="1">
      <alignment vertical="top"/>
    </xf>
    <xf numFmtId="0" fontId="6" fillId="0" borderId="1" xfId="0" applyFont="1" applyFill="1" applyBorder="1" applyAlignment="1">
      <alignment horizontal="left" vertical="top"/>
    </xf>
    <xf numFmtId="49" fontId="6" fillId="0" borderId="1" xfId="0" applyNumberFormat="1" applyFont="1" applyFill="1" applyBorder="1" applyAlignment="1">
      <alignment vertical="top"/>
    </xf>
    <xf numFmtId="0" fontId="6" fillId="0" borderId="1" xfId="0" applyFont="1" applyFill="1" applyBorder="1" applyAlignment="1">
      <alignment vertical="top"/>
    </xf>
    <xf numFmtId="164" fontId="6" fillId="0" borderId="1" xfId="0" applyNumberFormat="1" applyFont="1" applyFill="1" applyBorder="1" applyAlignment="1">
      <alignment vertical="top"/>
    </xf>
    <xf numFmtId="164" fontId="6" fillId="0" borderId="5" xfId="0" applyNumberFormat="1" applyFont="1" applyFill="1" applyBorder="1" applyAlignment="1">
      <alignment vertical="top"/>
    </xf>
    <xf numFmtId="3" fontId="1" fillId="0" borderId="1" xfId="0" applyNumberFormat="1" applyFont="1" applyFill="1" applyBorder="1" applyAlignment="1">
      <alignment vertical="top"/>
    </xf>
    <xf numFmtId="3" fontId="1" fillId="0" borderId="5" xfId="0" applyNumberFormat="1" applyFont="1" applyFill="1" applyBorder="1" applyAlignment="1">
      <alignment vertical="top"/>
    </xf>
    <xf numFmtId="167" fontId="1" fillId="0" borderId="1" xfId="1" applyNumberFormat="1" applyFont="1" applyFill="1" applyBorder="1" applyAlignment="1">
      <alignment vertical="top"/>
    </xf>
    <xf numFmtId="49" fontId="6" fillId="2" borderId="1" xfId="0" applyNumberFormat="1" applyFont="1" applyFill="1" applyBorder="1" applyAlignment="1">
      <alignment vertical="top"/>
    </xf>
    <xf numFmtId="167" fontId="6" fillId="0" borderId="1" xfId="1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164" fontId="1" fillId="0" borderId="0" xfId="0" applyNumberFormat="1" applyFont="1" applyFill="1" applyBorder="1"/>
    <xf numFmtId="0" fontId="1" fillId="0" borderId="1" xfId="0" quotePrefix="1" applyNumberFormat="1" applyFont="1" applyFill="1" applyBorder="1" applyAlignment="1">
      <alignment horizontal="left" vertical="top"/>
    </xf>
    <xf numFmtId="0" fontId="1" fillId="0" borderId="1" xfId="0" applyNumberFormat="1" applyFont="1" applyFill="1" applyBorder="1" applyAlignment="1">
      <alignment horizontal="left" vertical="top"/>
    </xf>
    <xf numFmtId="164" fontId="1" fillId="0" borderId="1" xfId="0" applyNumberFormat="1" applyFont="1" applyFill="1" applyBorder="1" applyAlignment="1">
      <alignment horizontal="right" vertical="top"/>
    </xf>
    <xf numFmtId="164" fontId="1" fillId="0" borderId="5" xfId="0" applyNumberFormat="1" applyFont="1" applyFill="1" applyBorder="1" applyAlignment="1">
      <alignment horizontal="right" vertical="top"/>
    </xf>
    <xf numFmtId="0" fontId="1" fillId="4" borderId="0" xfId="0" applyFont="1" applyFill="1"/>
    <xf numFmtId="167" fontId="1" fillId="0" borderId="1" xfId="0" applyNumberFormat="1" applyFont="1" applyFill="1" applyBorder="1" applyAlignment="1">
      <alignment vertical="top"/>
    </xf>
    <xf numFmtId="0" fontId="2" fillId="0" borderId="0" xfId="0" applyFont="1" applyFill="1"/>
    <xf numFmtId="167" fontId="2" fillId="0" borderId="0" xfId="0" applyNumberFormat="1" applyFont="1" applyFill="1"/>
    <xf numFmtId="167" fontId="6" fillId="0" borderId="5" xfId="1" applyNumberFormat="1" applyFont="1" applyFill="1" applyBorder="1" applyAlignment="1">
      <alignment vertical="top"/>
    </xf>
    <xf numFmtId="167" fontId="6" fillId="0" borderId="1" xfId="0" applyNumberFormat="1" applyFont="1" applyFill="1" applyBorder="1" applyAlignment="1">
      <alignment vertical="top"/>
    </xf>
    <xf numFmtId="167" fontId="6" fillId="0" borderId="5" xfId="0" applyNumberFormat="1" applyFont="1" applyFill="1" applyBorder="1" applyAlignment="1">
      <alignment vertical="top"/>
    </xf>
    <xf numFmtId="0" fontId="13" fillId="0" borderId="0" xfId="0" applyFont="1" applyFill="1" applyBorder="1"/>
    <xf numFmtId="0" fontId="13" fillId="0" borderId="0" xfId="0" applyFont="1" applyFill="1"/>
    <xf numFmtId="3" fontId="1" fillId="0" borderId="0" xfId="0" applyNumberFormat="1" applyFont="1" applyFill="1" applyBorder="1" applyAlignment="1">
      <alignment vertical="top"/>
    </xf>
    <xf numFmtId="164" fontId="6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3" fillId="0" borderId="0" xfId="0" applyFont="1" applyFill="1" applyAlignment="1">
      <alignment horizontal="left" vertical="top"/>
    </xf>
    <xf numFmtId="167" fontId="1" fillId="0" borderId="5" xfId="0" applyNumberFormat="1" applyFont="1" applyFill="1" applyBorder="1" applyAlignment="1">
      <alignment vertical="top"/>
    </xf>
    <xf numFmtId="0" fontId="6" fillId="0" borderId="1" xfId="0" quotePrefix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justify" vertical="top" wrapText="1"/>
    </xf>
    <xf numFmtId="167" fontId="1" fillId="0" borderId="5" xfId="1" applyNumberFormat="1" applyFont="1" applyFill="1" applyBorder="1" applyAlignment="1">
      <alignment vertical="top"/>
    </xf>
    <xf numFmtId="167" fontId="2" fillId="0" borderId="5" xfId="0" applyNumberFormat="1" applyFont="1" applyFill="1" applyBorder="1" applyAlignment="1">
      <alignment vertical="top"/>
    </xf>
    <xf numFmtId="167" fontId="1" fillId="0" borderId="0" xfId="0" applyNumberFormat="1" applyFont="1" applyFill="1" applyBorder="1"/>
    <xf numFmtId="0" fontId="6" fillId="0" borderId="0" xfId="0" applyFont="1" applyFill="1" applyBorder="1"/>
    <xf numFmtId="0" fontId="6" fillId="0" borderId="0" xfId="0" applyFont="1" applyFill="1"/>
    <xf numFmtId="3" fontId="1" fillId="0" borderId="1" xfId="1" applyNumberFormat="1" applyFont="1" applyFill="1" applyBorder="1" applyAlignment="1">
      <alignment vertical="top"/>
    </xf>
    <xf numFmtId="167" fontId="1" fillId="0" borderId="1" xfId="0" applyNumberFormat="1" applyFont="1" applyFill="1" applyBorder="1" applyAlignment="1">
      <alignment horizontal="right" vertical="top"/>
    </xf>
    <xf numFmtId="167" fontId="1" fillId="0" borderId="5" xfId="0" applyNumberFormat="1" applyFont="1" applyFill="1" applyBorder="1" applyAlignment="1">
      <alignment horizontal="right" vertical="top"/>
    </xf>
    <xf numFmtId="167" fontId="2" fillId="0" borderId="5" xfId="0" applyNumberFormat="1" applyFont="1" applyFill="1" applyBorder="1" applyAlignment="1">
      <alignment horizontal="right" vertical="top"/>
    </xf>
    <xf numFmtId="3" fontId="6" fillId="0" borderId="1" xfId="1" applyNumberFormat="1" applyFont="1" applyFill="1" applyBorder="1" applyAlignment="1">
      <alignment vertical="top"/>
    </xf>
    <xf numFmtId="167" fontId="6" fillId="0" borderId="8" xfId="1" applyNumberFormat="1" applyFont="1" applyFill="1" applyBorder="1" applyAlignment="1">
      <alignment horizontal="right" vertical="top"/>
    </xf>
    <xf numFmtId="167" fontId="6" fillId="0" borderId="9" xfId="1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/>
    <xf numFmtId="167" fontId="7" fillId="0" borderId="0" xfId="1" applyNumberFormat="1" applyFont="1" applyFill="1" applyBorder="1" applyAlignment="1">
      <alignment horizontal="right" vertical="top"/>
    </xf>
    <xf numFmtId="167" fontId="6" fillId="0" borderId="0" xfId="1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vertical="top"/>
    </xf>
    <xf numFmtId="167" fontId="1" fillId="0" borderId="0" xfId="1" applyNumberFormat="1" applyFont="1" applyFill="1" applyBorder="1" applyAlignment="1">
      <alignment horizontal="right" vertical="top"/>
    </xf>
    <xf numFmtId="3" fontId="1" fillId="0" borderId="0" xfId="0" applyNumberFormat="1" applyFont="1" applyFill="1"/>
    <xf numFmtId="165" fontId="1" fillId="0" borderId="0" xfId="1" applyFont="1" applyFill="1" applyBorder="1"/>
    <xf numFmtId="0" fontId="1" fillId="0" borderId="0" xfId="0" applyFont="1" applyFill="1" applyAlignment="1">
      <alignment horizontal="left"/>
    </xf>
    <xf numFmtId="3" fontId="0" fillId="0" borderId="0" xfId="0" applyNumberFormat="1"/>
    <xf numFmtId="3" fontId="12" fillId="0" borderId="10" xfId="0" applyNumberFormat="1" applyFont="1" applyBorder="1" applyAlignment="1">
      <alignment horizontal="right" vertical="center"/>
    </xf>
    <xf numFmtId="3" fontId="12" fillId="0" borderId="11" xfId="0" applyNumberFormat="1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 wrapText="1"/>
    </xf>
    <xf numFmtId="0" fontId="6" fillId="0" borderId="1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43" fontId="1" fillId="0" borderId="0" xfId="0" applyNumberFormat="1" applyFont="1" applyFill="1" applyBorder="1"/>
    <xf numFmtId="164" fontId="1" fillId="2" borderId="5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right" vertical="top"/>
    </xf>
    <xf numFmtId="167" fontId="6" fillId="2" borderId="5" xfId="1" applyNumberFormat="1" applyFont="1" applyFill="1" applyBorder="1" applyAlignment="1">
      <alignment vertical="top"/>
    </xf>
    <xf numFmtId="167" fontId="6" fillId="2" borderId="5" xfId="0" applyNumberFormat="1" applyFont="1" applyFill="1" applyBorder="1" applyAlignment="1">
      <alignment vertical="top"/>
    </xf>
    <xf numFmtId="167" fontId="1" fillId="2" borderId="5" xfId="0" applyNumberFormat="1" applyFont="1" applyFill="1" applyBorder="1" applyAlignment="1">
      <alignment vertical="top"/>
    </xf>
    <xf numFmtId="167" fontId="1" fillId="2" borderId="5" xfId="1" applyNumberFormat="1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167" fontId="1" fillId="2" borderId="1" xfId="0" applyNumberFormat="1" applyFont="1" applyFill="1" applyBorder="1" applyAlignment="1">
      <alignment vertical="top"/>
    </xf>
    <xf numFmtId="167" fontId="6" fillId="2" borderId="1" xfId="0" applyNumberFormat="1" applyFont="1" applyFill="1" applyBorder="1" applyAlignment="1">
      <alignment vertical="top"/>
    </xf>
    <xf numFmtId="167" fontId="1" fillId="2" borderId="5" xfId="0" applyNumberFormat="1" applyFont="1" applyFill="1" applyBorder="1" applyAlignment="1">
      <alignment horizontal="right" vertical="top"/>
    </xf>
    <xf numFmtId="167" fontId="6" fillId="2" borderId="9" xfId="1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quotePrefix="1" applyFont="1" applyBorder="1" applyAlignment="1">
      <alignment horizontal="left" vertical="top"/>
    </xf>
    <xf numFmtId="0" fontId="1" fillId="0" borderId="0" xfId="0" applyFont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0" fontId="1" fillId="0" borderId="0" xfId="0" quotePrefix="1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center" wrapText="1"/>
    </xf>
    <xf numFmtId="0" fontId="1" fillId="0" borderId="0" xfId="0" quotePrefix="1" applyFont="1" applyFill="1" applyBorder="1" applyAlignment="1">
      <alignment horizontal="right"/>
    </xf>
    <xf numFmtId="0" fontId="6" fillId="0" borderId="4" xfId="0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49" fontId="15" fillId="0" borderId="0" xfId="0" applyNumberFormat="1" applyFont="1" applyFill="1" applyBorder="1" applyAlignment="1">
      <alignment vertical="top"/>
    </xf>
    <xf numFmtId="0" fontId="15" fillId="0" borderId="0" xfId="0" applyFont="1" applyFill="1" applyBorder="1" applyAlignment="1">
      <alignment vertical="top"/>
    </xf>
    <xf numFmtId="167" fontId="15" fillId="0" borderId="0" xfId="0" applyNumberFormat="1" applyFont="1" applyFill="1" applyBorder="1" applyAlignment="1">
      <alignment vertical="top"/>
    </xf>
    <xf numFmtId="164" fontId="14" fillId="0" borderId="0" xfId="0" applyNumberFormat="1" applyFont="1" applyFill="1" applyBorder="1" applyAlignment="1">
      <alignment vertical="top"/>
    </xf>
    <xf numFmtId="167" fontId="16" fillId="2" borderId="0" xfId="0" applyNumberFormat="1" applyFont="1" applyFill="1" applyBorder="1" applyAlignment="1">
      <alignment vertical="top"/>
    </xf>
    <xf numFmtId="0" fontId="14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1" xfId="4" applyFont="1" applyFill="1" applyBorder="1" applyAlignment="1">
      <alignment horizontal="left" vertical="top" wrapText="1"/>
    </xf>
    <xf numFmtId="0" fontId="1" fillId="0" borderId="1" xfId="4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14" fillId="0" borderId="7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5" fillId="0" borderId="0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 vertical="top"/>
    </xf>
    <xf numFmtId="0" fontId="1" fillId="0" borderId="0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3" fillId="2" borderId="0" xfId="0" applyFont="1" applyFill="1" applyBorder="1" applyAlignment="1">
      <alignment horizontal="left" vertical="top"/>
    </xf>
  </cellXfs>
  <cellStyles count="5">
    <cellStyle name="Check Cell" xfId="4" builtinId="23"/>
    <cellStyle name="Comma" xfId="1" builtinId="3"/>
    <cellStyle name="Normal" xfId="0" builtinId="0"/>
    <cellStyle name="Normal 2" xfId="3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320"/>
  <sheetViews>
    <sheetView tabSelected="1" topLeftCell="A4" zoomScale="70" zoomScaleNormal="70" workbookViewId="0">
      <selection activeCell="C20" sqref="C20"/>
    </sheetView>
  </sheetViews>
  <sheetFormatPr defaultColWidth="9.33203125" defaultRowHeight="18" x14ac:dyDescent="0.35"/>
  <cols>
    <col min="1" max="1" width="18.33203125" style="112" customWidth="1"/>
    <col min="2" max="2" width="14.33203125" style="8" customWidth="1"/>
    <col min="3" max="3" width="78.77734375" style="8" customWidth="1"/>
    <col min="4" max="5" width="21.77734375" style="8" hidden="1" customWidth="1"/>
    <col min="6" max="11" width="21.109375" style="8" hidden="1" customWidth="1"/>
    <col min="12" max="13" width="21" style="8" hidden="1" customWidth="1"/>
    <col min="14" max="14" width="21" style="76" hidden="1" customWidth="1"/>
    <col min="15" max="15" width="23.109375" style="76" hidden="1" customWidth="1"/>
    <col min="16" max="16" width="19.6640625" style="76" hidden="1" customWidth="1"/>
    <col min="17" max="17" width="21" style="76" hidden="1" customWidth="1"/>
    <col min="18" max="18" width="21" style="8" hidden="1" customWidth="1"/>
    <col min="19" max="19" width="11.6640625" style="8" hidden="1" customWidth="1"/>
    <col min="20" max="20" width="3.77734375" style="8" hidden="1" customWidth="1"/>
    <col min="21" max="21" width="23" style="8" customWidth="1"/>
    <col min="22" max="22" width="21" style="8" hidden="1" customWidth="1"/>
    <col min="23" max="25" width="21" style="8" customWidth="1"/>
    <col min="26" max="26" width="86.77734375" style="8" customWidth="1"/>
    <col min="27" max="28" width="19.33203125" style="8" customWidth="1"/>
    <col min="29" max="29" width="18.33203125" style="8" customWidth="1"/>
    <col min="30" max="34" width="9.33203125" style="8" customWidth="1"/>
    <col min="35" max="35" width="10.77734375" style="8" customWidth="1"/>
    <col min="36" max="59" width="9.33203125" style="8" customWidth="1"/>
    <col min="60" max="16384" width="9.33203125" style="8"/>
  </cols>
  <sheetData>
    <row r="1" spans="1:50" ht="21" x14ac:dyDescent="0.4">
      <c r="A1" s="1"/>
      <c r="B1" s="2"/>
      <c r="C1" s="3"/>
      <c r="D1" s="3"/>
      <c r="E1" s="3"/>
      <c r="F1" s="4"/>
      <c r="G1" s="4"/>
      <c r="H1" s="4"/>
      <c r="I1" s="4"/>
      <c r="J1" s="4"/>
      <c r="K1" s="4"/>
      <c r="L1" s="5"/>
      <c r="M1" s="5"/>
      <c r="N1" s="6"/>
      <c r="O1" s="6"/>
      <c r="P1" s="6"/>
      <c r="Q1" s="6"/>
      <c r="R1" s="5"/>
      <c r="S1" s="5"/>
      <c r="T1" s="5"/>
      <c r="U1" s="5"/>
      <c r="V1" s="5"/>
      <c r="W1" s="5"/>
      <c r="X1" s="5"/>
      <c r="Y1" s="5"/>
      <c r="Z1" s="7" t="s">
        <v>118</v>
      </c>
      <c r="AA1" s="3"/>
      <c r="AB1" s="3"/>
      <c r="AC1" s="3"/>
      <c r="AD1" s="3"/>
    </row>
    <row r="2" spans="1:50" ht="21" x14ac:dyDescent="0.4">
      <c r="A2" s="9"/>
      <c r="B2" s="10"/>
      <c r="C2" s="11"/>
      <c r="D2" s="11"/>
      <c r="E2" s="11"/>
      <c r="F2" s="12"/>
      <c r="G2" s="12"/>
      <c r="H2" s="12"/>
      <c r="I2" s="12"/>
      <c r="J2" s="12"/>
      <c r="K2" s="12"/>
      <c r="L2" s="13"/>
      <c r="M2" s="13"/>
      <c r="N2" s="14"/>
      <c r="O2" s="14"/>
      <c r="P2" s="14"/>
      <c r="Q2" s="14"/>
      <c r="R2" s="13"/>
      <c r="S2" s="13"/>
      <c r="T2" s="13"/>
      <c r="U2" s="13"/>
      <c r="V2" s="13"/>
      <c r="W2" s="13"/>
      <c r="X2" s="13"/>
      <c r="Y2" s="13"/>
      <c r="Z2" s="12" t="s">
        <v>119</v>
      </c>
      <c r="AA2" s="3"/>
      <c r="AB2" s="3"/>
      <c r="AC2" s="3"/>
      <c r="AD2" s="3"/>
    </row>
    <row r="3" spans="1:50" ht="21" x14ac:dyDescent="0.4">
      <c r="A3" s="9"/>
      <c r="B3" s="10"/>
      <c r="C3" s="11"/>
      <c r="D3" s="11"/>
      <c r="E3" s="11"/>
      <c r="F3" s="12"/>
      <c r="G3" s="12"/>
      <c r="H3" s="12"/>
      <c r="I3" s="12"/>
      <c r="J3" s="12"/>
      <c r="K3" s="12"/>
      <c r="L3" s="13"/>
      <c r="M3" s="13"/>
      <c r="N3" s="14"/>
      <c r="O3" s="14"/>
      <c r="P3" s="14"/>
      <c r="Q3" s="14"/>
      <c r="R3" s="13"/>
      <c r="S3" s="13"/>
      <c r="T3" s="13"/>
      <c r="U3" s="13"/>
      <c r="V3" s="13"/>
      <c r="W3" s="13"/>
      <c r="X3" s="13"/>
      <c r="Y3" s="13"/>
      <c r="Z3" s="13" t="s">
        <v>0</v>
      </c>
      <c r="AA3" s="3"/>
      <c r="AB3" s="3"/>
      <c r="AC3" s="3"/>
      <c r="AD3" s="3"/>
    </row>
    <row r="4" spans="1:50" s="16" customFormat="1" ht="20.399999999999999" x14ac:dyDescent="0.35">
      <c r="A4" s="163" t="s">
        <v>119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5"/>
      <c r="AB4" s="15"/>
      <c r="AC4" s="15"/>
      <c r="AD4" s="15"/>
    </row>
    <row r="5" spans="1:50" s="16" customFormat="1" ht="15" customHeight="1" x14ac:dyDescent="0.3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8"/>
      <c r="T5" s="18"/>
      <c r="U5" s="18"/>
      <c r="V5" s="18"/>
      <c r="W5" s="18"/>
      <c r="X5" s="18"/>
      <c r="Y5" s="18"/>
      <c r="Z5" s="17"/>
      <c r="AA5" s="15"/>
      <c r="AB5" s="15"/>
      <c r="AC5" s="15"/>
      <c r="AD5" s="15"/>
    </row>
    <row r="6" spans="1:50" ht="20.399999999999999" x14ac:dyDescent="0.35">
      <c r="A6" s="164" t="s">
        <v>109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3"/>
      <c r="AB6" s="3"/>
      <c r="AC6" s="3"/>
      <c r="AD6" s="3"/>
    </row>
    <row r="7" spans="1:50" ht="20.399999999999999" x14ac:dyDescent="0.35">
      <c r="A7" s="19"/>
      <c r="B7" s="19"/>
      <c r="C7" s="20"/>
      <c r="D7" s="19"/>
      <c r="E7" s="19"/>
      <c r="F7" s="19"/>
      <c r="G7" s="19"/>
      <c r="H7" s="19"/>
      <c r="I7" s="19"/>
      <c r="J7" s="19"/>
      <c r="K7" s="19"/>
      <c r="L7" s="19"/>
      <c r="M7" s="19"/>
      <c r="N7" s="21"/>
      <c r="O7" s="21"/>
      <c r="P7" s="21"/>
      <c r="Q7" s="21"/>
      <c r="R7" s="19"/>
      <c r="S7" s="19"/>
      <c r="T7" s="19"/>
      <c r="U7" s="19"/>
      <c r="V7" s="19"/>
      <c r="W7" s="19"/>
      <c r="X7" s="19"/>
      <c r="Y7" s="19"/>
      <c r="Z7" s="19"/>
      <c r="AA7" s="3"/>
      <c r="AB7" s="3"/>
      <c r="AC7" s="3"/>
      <c r="AD7" s="3"/>
    </row>
    <row r="8" spans="1:50" s="24" customFormat="1" x14ac:dyDescent="0.35">
      <c r="A8" s="22"/>
      <c r="B8" s="22"/>
      <c r="C8" s="22"/>
      <c r="D8" s="22"/>
      <c r="E8" s="22"/>
      <c r="F8" s="22"/>
      <c r="G8" s="22" t="s">
        <v>1</v>
      </c>
      <c r="H8" s="22" t="s">
        <v>2</v>
      </c>
      <c r="I8" s="22" t="s">
        <v>3</v>
      </c>
      <c r="J8" s="22" t="s">
        <v>4</v>
      </c>
      <c r="K8" s="22" t="s">
        <v>1</v>
      </c>
      <c r="L8" s="22" t="s">
        <v>5</v>
      </c>
      <c r="M8" s="22" t="s">
        <v>6</v>
      </c>
      <c r="N8" s="22" t="s">
        <v>2</v>
      </c>
      <c r="O8" s="22" t="s">
        <v>7</v>
      </c>
      <c r="P8" s="22" t="s">
        <v>2</v>
      </c>
      <c r="Q8" s="22" t="s">
        <v>2</v>
      </c>
      <c r="R8" s="22" t="s">
        <v>3</v>
      </c>
      <c r="S8" s="22"/>
      <c r="T8" s="22"/>
      <c r="U8" s="22"/>
      <c r="V8" s="22"/>
      <c r="W8" s="22"/>
      <c r="X8" s="22"/>
      <c r="Y8" s="22"/>
      <c r="Z8" s="22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23"/>
    </row>
    <row r="9" spans="1:50" ht="18.75" customHeight="1" x14ac:dyDescent="0.35">
      <c r="A9" s="25"/>
      <c r="B9" s="26"/>
      <c r="C9" s="26"/>
      <c r="D9" s="27" t="s">
        <v>8</v>
      </c>
      <c r="E9" s="27" t="s">
        <v>9</v>
      </c>
      <c r="F9" s="27" t="s">
        <v>10</v>
      </c>
      <c r="G9" s="27" t="s">
        <v>8</v>
      </c>
      <c r="H9" s="27" t="s">
        <v>9</v>
      </c>
      <c r="I9" s="28" t="s">
        <v>10</v>
      </c>
      <c r="J9" s="28" t="s">
        <v>11</v>
      </c>
      <c r="K9" s="28"/>
      <c r="L9" s="28" t="s">
        <v>8</v>
      </c>
      <c r="M9" s="28" t="s">
        <v>9</v>
      </c>
      <c r="N9" s="29"/>
      <c r="O9" s="28" t="s">
        <v>8</v>
      </c>
      <c r="P9" s="30" t="s">
        <v>12</v>
      </c>
      <c r="Q9" s="28" t="s">
        <v>13</v>
      </c>
      <c r="R9" s="28" t="s">
        <v>13</v>
      </c>
      <c r="S9" s="28"/>
      <c r="T9" s="28"/>
      <c r="U9" s="144" t="s">
        <v>8</v>
      </c>
      <c r="V9" s="144"/>
      <c r="W9" s="144" t="s">
        <v>8</v>
      </c>
      <c r="X9" s="144" t="s">
        <v>8</v>
      </c>
      <c r="Y9" s="144" t="s">
        <v>110</v>
      </c>
      <c r="Z9" s="145" t="s">
        <v>14</v>
      </c>
      <c r="AA9" s="2"/>
      <c r="AB9" s="2"/>
      <c r="AC9" s="2"/>
      <c r="AD9" s="2"/>
    </row>
    <row r="10" spans="1:50" ht="20.399999999999999" x14ac:dyDescent="0.35">
      <c r="A10" s="31"/>
      <c r="B10" s="32"/>
      <c r="C10" s="32"/>
      <c r="D10" s="33">
        <v>2014</v>
      </c>
      <c r="E10" s="33">
        <v>2014</v>
      </c>
      <c r="F10" s="33">
        <v>2014</v>
      </c>
      <c r="G10" s="33">
        <v>2015</v>
      </c>
      <c r="H10" s="33">
        <v>2015</v>
      </c>
      <c r="I10" s="33">
        <v>2015</v>
      </c>
      <c r="J10" s="34">
        <v>2015</v>
      </c>
      <c r="K10" s="34"/>
      <c r="L10" s="34">
        <v>2016</v>
      </c>
      <c r="M10" s="34">
        <v>2016</v>
      </c>
      <c r="N10" s="35"/>
      <c r="O10" s="34">
        <v>2016</v>
      </c>
      <c r="P10" s="34"/>
      <c r="Q10" s="34">
        <v>2016</v>
      </c>
      <c r="R10" s="34">
        <v>2017</v>
      </c>
      <c r="S10" s="34"/>
      <c r="T10" s="34"/>
      <c r="U10" s="34" t="s">
        <v>122</v>
      </c>
      <c r="V10" s="34"/>
      <c r="W10" s="34">
        <v>2020</v>
      </c>
      <c r="X10" s="34">
        <v>2021</v>
      </c>
      <c r="Y10" s="34">
        <v>2022</v>
      </c>
      <c r="Z10" s="32"/>
      <c r="AA10" s="2"/>
      <c r="AB10" s="2"/>
      <c r="AC10" s="2"/>
      <c r="AD10" s="2"/>
    </row>
    <row r="11" spans="1:50" x14ac:dyDescent="0.35">
      <c r="A11" s="31">
        <v>10</v>
      </c>
      <c r="B11" s="32" t="s">
        <v>123</v>
      </c>
      <c r="C11" s="36"/>
      <c r="D11" s="37"/>
      <c r="E11" s="37"/>
      <c r="F11" s="37"/>
      <c r="G11" s="37"/>
      <c r="H11" s="37"/>
      <c r="I11" s="38"/>
      <c r="J11" s="38"/>
      <c r="K11" s="38"/>
      <c r="L11" s="38"/>
      <c r="M11" s="38"/>
      <c r="N11" s="39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155"/>
      <c r="AA11" s="2"/>
      <c r="AB11" s="2"/>
      <c r="AC11" s="2"/>
      <c r="AD11" s="2"/>
    </row>
    <row r="12" spans="1:50" ht="36" x14ac:dyDescent="0.35">
      <c r="A12" s="31">
        <v>1100</v>
      </c>
      <c r="B12" s="32" t="s">
        <v>15</v>
      </c>
      <c r="C12" s="32"/>
      <c r="D12" s="32"/>
      <c r="E12" s="32"/>
      <c r="F12" s="32"/>
      <c r="G12" s="32"/>
      <c r="H12" s="32"/>
      <c r="I12" s="41"/>
      <c r="J12" s="41"/>
      <c r="K12" s="41"/>
      <c r="L12" s="41"/>
      <c r="M12" s="41"/>
      <c r="N12" s="42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157" t="s">
        <v>129</v>
      </c>
      <c r="AA12" s="44"/>
      <c r="AB12" s="2"/>
      <c r="AC12" s="2"/>
      <c r="AD12" s="2"/>
    </row>
    <row r="13" spans="1:50" x14ac:dyDescent="0.35">
      <c r="A13" s="31"/>
      <c r="B13" s="45" t="s">
        <v>16</v>
      </c>
      <c r="C13" s="32" t="s">
        <v>17</v>
      </c>
      <c r="D13" s="46">
        <v>251635.39713378146</v>
      </c>
      <c r="E13" s="46">
        <v>251635.39713378146</v>
      </c>
      <c r="F13" s="46">
        <v>239732.0900000002</v>
      </c>
      <c r="G13" s="46">
        <f>251635.397*1.03</f>
        <v>259184.45891000002</v>
      </c>
      <c r="H13" s="46">
        <f>251635.397*1.03</f>
        <v>259184.45891000002</v>
      </c>
      <c r="I13" s="46">
        <v>214482.90999999997</v>
      </c>
      <c r="J13" s="47">
        <f>+H13-I13</f>
        <v>44701.548910000041</v>
      </c>
      <c r="K13" s="47"/>
      <c r="L13" s="47">
        <v>266959.9926773</v>
      </c>
      <c r="M13" s="47">
        <f t="shared" ref="M13:M25" si="0">+G13*1.03</f>
        <v>266959.9926773</v>
      </c>
      <c r="N13" s="48">
        <f t="shared" ref="N13:N55" si="1">+L13-M13</f>
        <v>0</v>
      </c>
      <c r="O13" s="47">
        <v>266959.9926773</v>
      </c>
      <c r="P13" s="47"/>
      <c r="Q13" s="47">
        <v>266959.9926773</v>
      </c>
      <c r="R13" s="47">
        <v>274968.79245761898</v>
      </c>
      <c r="S13" s="47"/>
      <c r="T13" s="47"/>
      <c r="U13" s="47">
        <v>291714.39191828796</v>
      </c>
      <c r="V13" s="47"/>
      <c r="W13" s="47">
        <v>300465.82367583661</v>
      </c>
      <c r="X13" s="47">
        <f>+W13*1.03</f>
        <v>309479.79838611174</v>
      </c>
      <c r="Y13" s="47">
        <f>+X13*1.03</f>
        <v>318764.1923376951</v>
      </c>
      <c r="Z13" s="156"/>
      <c r="AA13" s="44"/>
      <c r="AB13" s="2"/>
      <c r="AC13" s="2"/>
      <c r="AD13" s="2"/>
    </row>
    <row r="14" spans="1:50" ht="19.5" customHeight="1" x14ac:dyDescent="0.35">
      <c r="A14" s="31"/>
      <c r="B14" s="45" t="s">
        <v>18</v>
      </c>
      <c r="C14" s="32" t="s">
        <v>19</v>
      </c>
      <c r="D14" s="46">
        <v>248332.96612062285</v>
      </c>
      <c r="E14" s="46">
        <v>248332.96612062285</v>
      </c>
      <c r="F14" s="46">
        <v>22905.16</v>
      </c>
      <c r="G14" s="46">
        <f>248332.966*1.03</f>
        <v>255782.95497999998</v>
      </c>
      <c r="H14" s="46">
        <f>248332.966*1.03</f>
        <v>255782.95497999998</v>
      </c>
      <c r="I14" s="46">
        <v>195323.62</v>
      </c>
      <c r="J14" s="47">
        <f t="shared" ref="J14:J27" si="2">+H14-I14</f>
        <v>60459.334979999985</v>
      </c>
      <c r="K14" s="47"/>
      <c r="L14" s="47">
        <v>263456.44362939999</v>
      </c>
      <c r="M14" s="47">
        <f t="shared" si="0"/>
        <v>263456.44362939999</v>
      </c>
      <c r="N14" s="48">
        <f t="shared" si="1"/>
        <v>0</v>
      </c>
      <c r="O14" s="47">
        <v>263456.44362939999</v>
      </c>
      <c r="P14" s="47"/>
      <c r="Q14" s="47">
        <v>263456.44362939999</v>
      </c>
      <c r="R14" s="47">
        <v>271360.136938282</v>
      </c>
      <c r="S14" s="47"/>
      <c r="T14" s="47"/>
      <c r="U14" s="47">
        <v>287885.96927782334</v>
      </c>
      <c r="V14" s="47"/>
      <c r="W14" s="47">
        <v>296522.54835615808</v>
      </c>
      <c r="X14" s="47">
        <f>+W14*1.03</f>
        <v>305418.2248068428</v>
      </c>
      <c r="Y14" s="47">
        <f>+X14*1.03</f>
        <v>314580.77155104809</v>
      </c>
      <c r="Z14" s="43"/>
      <c r="AA14" s="44"/>
      <c r="AB14" s="2"/>
      <c r="AC14" s="2"/>
      <c r="AD14" s="2"/>
    </row>
    <row r="15" spans="1:50" ht="19.5" customHeight="1" x14ac:dyDescent="0.35">
      <c r="A15" s="31"/>
      <c r="B15" s="45" t="s">
        <v>20</v>
      </c>
      <c r="C15" s="32" t="s">
        <v>21</v>
      </c>
      <c r="D15" s="46">
        <v>164584.85410424246</v>
      </c>
      <c r="E15" s="46">
        <v>164584.85410424246</v>
      </c>
      <c r="F15" s="46">
        <v>152217.49000000011</v>
      </c>
      <c r="G15" s="46">
        <v>169522.39972736975</v>
      </c>
      <c r="H15" s="46">
        <v>169522.39972736975</v>
      </c>
      <c r="I15" s="46">
        <v>141029.65000000002</v>
      </c>
      <c r="J15" s="47">
        <f t="shared" si="2"/>
        <v>28492.749727369723</v>
      </c>
      <c r="K15" s="47"/>
      <c r="L15" s="47">
        <v>174608.07171919083</v>
      </c>
      <c r="M15" s="47">
        <f t="shared" si="0"/>
        <v>174608.07171919083</v>
      </c>
      <c r="N15" s="48">
        <f t="shared" si="1"/>
        <v>0</v>
      </c>
      <c r="O15" s="47">
        <v>174608.07171919083</v>
      </c>
      <c r="P15" s="47"/>
      <c r="Q15" s="47">
        <v>174608.07171919083</v>
      </c>
      <c r="R15" s="47">
        <v>179846.31387076655</v>
      </c>
      <c r="S15" s="47"/>
      <c r="T15" s="47"/>
      <c r="U15" s="47">
        <v>203529.75438549626</v>
      </c>
      <c r="V15" s="47"/>
      <c r="W15" s="47">
        <v>209635.64701706116</v>
      </c>
      <c r="X15" s="47">
        <f t="shared" ref="X15:X27" si="3">+W15*1.03</f>
        <v>215924.716427573</v>
      </c>
      <c r="Y15" s="47">
        <f t="shared" ref="Y15:Y27" si="4">+X15*1.03</f>
        <v>222402.45792040019</v>
      </c>
      <c r="Z15" s="43"/>
      <c r="AA15" s="44"/>
      <c r="AB15" s="2"/>
      <c r="AC15" s="2"/>
      <c r="AD15" s="2"/>
    </row>
    <row r="16" spans="1:50" ht="19.5" customHeight="1" x14ac:dyDescent="0.35">
      <c r="A16" s="31"/>
      <c r="B16" s="45" t="s">
        <v>22</v>
      </c>
      <c r="C16" s="32" t="s">
        <v>132</v>
      </c>
      <c r="D16" s="46">
        <v>224409.30820681545</v>
      </c>
      <c r="E16" s="46">
        <v>224409.30820681545</v>
      </c>
      <c r="F16" s="46">
        <v>211329.56999999995</v>
      </c>
      <c r="G16" s="46">
        <v>231141.58745301992</v>
      </c>
      <c r="H16" s="46">
        <v>231141.58745301992</v>
      </c>
      <c r="I16" s="46">
        <v>0</v>
      </c>
      <c r="J16" s="47">
        <f t="shared" si="2"/>
        <v>231141.58745301992</v>
      </c>
      <c r="K16" s="47"/>
      <c r="L16" s="47">
        <v>238075.83507661053</v>
      </c>
      <c r="M16" s="47">
        <f t="shared" si="0"/>
        <v>238075.83507661053</v>
      </c>
      <c r="N16" s="48">
        <f t="shared" si="1"/>
        <v>0</v>
      </c>
      <c r="O16" s="47">
        <v>238075.83507661053</v>
      </c>
      <c r="P16" s="47"/>
      <c r="Q16" s="47">
        <v>238075.83507661053</v>
      </c>
      <c r="R16" s="47">
        <v>245218.11012890885</v>
      </c>
      <c r="S16" s="47"/>
      <c r="T16" s="47"/>
      <c r="U16" s="47">
        <v>260151.89303575942</v>
      </c>
      <c r="V16" s="47"/>
      <c r="W16" s="47">
        <v>267956.44982683222</v>
      </c>
      <c r="X16" s="47">
        <f t="shared" si="3"/>
        <v>275995.14332163718</v>
      </c>
      <c r="Y16" s="47">
        <f t="shared" si="4"/>
        <v>284274.99762128631</v>
      </c>
      <c r="Z16" s="43"/>
      <c r="AA16" s="44"/>
      <c r="AB16" s="2"/>
      <c r="AC16" s="2"/>
      <c r="AD16" s="2"/>
    </row>
    <row r="17" spans="1:80" ht="19.5" customHeight="1" x14ac:dyDescent="0.35">
      <c r="A17" s="31"/>
      <c r="B17" s="45" t="s">
        <v>23</v>
      </c>
      <c r="C17" s="32" t="s">
        <v>132</v>
      </c>
      <c r="D17" s="46">
        <v>224409.30820681545</v>
      </c>
      <c r="E17" s="46">
        <v>224409.30820681545</v>
      </c>
      <c r="F17" s="46">
        <v>193439.00999999998</v>
      </c>
      <c r="G17" s="46">
        <v>231141.58745301992</v>
      </c>
      <c r="H17" s="46">
        <v>231141.58745301992</v>
      </c>
      <c r="I17" s="46">
        <v>176992.76</v>
      </c>
      <c r="J17" s="47">
        <f t="shared" si="2"/>
        <v>54148.827453019912</v>
      </c>
      <c r="K17" s="47"/>
      <c r="L17" s="47">
        <v>238075.83507661053</v>
      </c>
      <c r="M17" s="47">
        <f t="shared" si="0"/>
        <v>238075.83507661053</v>
      </c>
      <c r="N17" s="48">
        <f t="shared" si="1"/>
        <v>0</v>
      </c>
      <c r="O17" s="47">
        <v>238075.83507661053</v>
      </c>
      <c r="P17" s="47"/>
      <c r="Q17" s="47">
        <v>238075.83507661053</v>
      </c>
      <c r="R17" s="47">
        <v>245218.11012890885</v>
      </c>
      <c r="S17" s="47"/>
      <c r="T17" s="47"/>
      <c r="U17" s="47">
        <v>260151.89303575942</v>
      </c>
      <c r="V17" s="47"/>
      <c r="W17" s="47">
        <v>267956.44982683222</v>
      </c>
      <c r="X17" s="47">
        <f t="shared" si="3"/>
        <v>275995.14332163718</v>
      </c>
      <c r="Y17" s="47">
        <f t="shared" si="4"/>
        <v>284274.99762128631</v>
      </c>
      <c r="Z17" s="43"/>
      <c r="AA17" s="44"/>
      <c r="AB17" s="2"/>
      <c r="AC17" s="2"/>
      <c r="AD17" s="2"/>
    </row>
    <row r="18" spans="1:80" ht="19.5" customHeight="1" x14ac:dyDescent="0.35">
      <c r="A18" s="31"/>
      <c r="B18" s="45" t="s">
        <v>24</v>
      </c>
      <c r="C18" s="32" t="s">
        <v>132</v>
      </c>
      <c r="D18" s="46">
        <v>224409.30820681545</v>
      </c>
      <c r="E18" s="46">
        <v>224409.30820681545</v>
      </c>
      <c r="F18" s="46">
        <v>87695.440000000017</v>
      </c>
      <c r="G18" s="46">
        <v>231141.58745301992</v>
      </c>
      <c r="H18" s="46">
        <v>231141.58745301992</v>
      </c>
      <c r="I18" s="46">
        <v>109916.34</v>
      </c>
      <c r="J18" s="47">
        <f t="shared" si="2"/>
        <v>121225.24745301993</v>
      </c>
      <c r="K18" s="47"/>
      <c r="L18" s="47">
        <v>238075.83507661053</v>
      </c>
      <c r="M18" s="47">
        <f t="shared" si="0"/>
        <v>238075.83507661053</v>
      </c>
      <c r="N18" s="48">
        <f t="shared" si="1"/>
        <v>0</v>
      </c>
      <c r="O18" s="47">
        <v>238075.83507661053</v>
      </c>
      <c r="P18" s="47"/>
      <c r="Q18" s="47">
        <v>238075.83507661053</v>
      </c>
      <c r="R18" s="47">
        <v>245218.11012890885</v>
      </c>
      <c r="S18" s="47"/>
      <c r="T18" s="47"/>
      <c r="U18" s="47">
        <v>260151.89303575942</v>
      </c>
      <c r="V18" s="47"/>
      <c r="W18" s="47">
        <v>267956.44982683222</v>
      </c>
      <c r="X18" s="47">
        <f t="shared" si="3"/>
        <v>275995.14332163718</v>
      </c>
      <c r="Y18" s="47">
        <f t="shared" si="4"/>
        <v>284274.99762128631</v>
      </c>
      <c r="Z18" s="43"/>
      <c r="AA18" s="44"/>
      <c r="AB18" s="2"/>
      <c r="AC18" s="2"/>
      <c r="AD18" s="2"/>
    </row>
    <row r="19" spans="1:80" ht="19.5" customHeight="1" x14ac:dyDescent="0.35">
      <c r="A19" s="31"/>
      <c r="B19" s="45" t="s">
        <v>25</v>
      </c>
      <c r="C19" s="32" t="s">
        <v>132</v>
      </c>
      <c r="D19" s="46">
        <v>224409.30820681545</v>
      </c>
      <c r="E19" s="46">
        <v>224409.30820681545</v>
      </c>
      <c r="F19" s="46">
        <v>190173.15999999995</v>
      </c>
      <c r="G19" s="46">
        <v>231141.58745301992</v>
      </c>
      <c r="H19" s="46">
        <v>231141.58745301992</v>
      </c>
      <c r="I19" s="46">
        <v>181456.53000000003</v>
      </c>
      <c r="J19" s="47">
        <f t="shared" si="2"/>
        <v>49685.057453019894</v>
      </c>
      <c r="K19" s="47"/>
      <c r="L19" s="47">
        <v>238075.83507661053</v>
      </c>
      <c r="M19" s="47">
        <f t="shared" si="0"/>
        <v>238075.83507661053</v>
      </c>
      <c r="N19" s="48">
        <f t="shared" si="1"/>
        <v>0</v>
      </c>
      <c r="O19" s="47">
        <v>238075.83507661053</v>
      </c>
      <c r="P19" s="47"/>
      <c r="Q19" s="47">
        <v>238075.83507661053</v>
      </c>
      <c r="R19" s="47">
        <v>245218.11012890885</v>
      </c>
      <c r="S19" s="47"/>
      <c r="T19" s="47"/>
      <c r="U19" s="47">
        <v>260151.89303575942</v>
      </c>
      <c r="V19" s="47"/>
      <c r="W19" s="47">
        <v>267956.44982683222</v>
      </c>
      <c r="X19" s="47">
        <f t="shared" si="3"/>
        <v>275995.14332163718</v>
      </c>
      <c r="Y19" s="47">
        <f t="shared" si="4"/>
        <v>284274.99762128631</v>
      </c>
      <c r="Z19" s="43"/>
      <c r="AA19" s="44"/>
      <c r="AB19" s="2"/>
      <c r="AC19" s="2"/>
      <c r="AD19" s="2"/>
    </row>
    <row r="20" spans="1:80" s="50" customFormat="1" ht="19.5" customHeight="1" x14ac:dyDescent="0.35">
      <c r="A20" s="31"/>
      <c r="B20" s="45" t="s">
        <v>26</v>
      </c>
      <c r="C20" s="32" t="s">
        <v>27</v>
      </c>
      <c r="D20" s="46">
        <v>198426.29440757574</v>
      </c>
      <c r="E20" s="46">
        <v>198426.29440757574</v>
      </c>
      <c r="F20" s="46">
        <v>186854.30999999985</v>
      </c>
      <c r="G20" s="46">
        <v>204379.08323980303</v>
      </c>
      <c r="H20" s="46">
        <v>204379.08323980303</v>
      </c>
      <c r="I20" s="46">
        <v>166106.63</v>
      </c>
      <c r="J20" s="47">
        <f t="shared" si="2"/>
        <v>38272.453239803028</v>
      </c>
      <c r="K20" s="47"/>
      <c r="L20" s="47">
        <v>210510.45573699713</v>
      </c>
      <c r="M20" s="47">
        <f t="shared" si="0"/>
        <v>210510.45573699713</v>
      </c>
      <c r="N20" s="48">
        <f t="shared" si="1"/>
        <v>0</v>
      </c>
      <c r="O20" s="47">
        <v>210510.45573699713</v>
      </c>
      <c r="P20" s="47"/>
      <c r="Q20" s="47">
        <v>210510.45573699713</v>
      </c>
      <c r="R20" s="47">
        <v>216825.76940910704</v>
      </c>
      <c r="S20" s="47"/>
      <c r="T20" s="47"/>
      <c r="U20" s="47">
        <v>234486.23876612168</v>
      </c>
      <c r="V20" s="47"/>
      <c r="W20" s="47">
        <v>241520.82592910534</v>
      </c>
      <c r="X20" s="47">
        <f t="shared" si="3"/>
        <v>248766.4507069785</v>
      </c>
      <c r="Y20" s="47">
        <f t="shared" si="4"/>
        <v>256229.44422818787</v>
      </c>
      <c r="Z20" s="43"/>
      <c r="AA20" s="49"/>
      <c r="AB20" s="2"/>
      <c r="AC20" s="2"/>
      <c r="AD20" s="2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</row>
    <row r="21" spans="1:80" ht="19.5" customHeight="1" x14ac:dyDescent="0.35">
      <c r="A21" s="31"/>
      <c r="B21" s="45" t="s">
        <v>28</v>
      </c>
      <c r="C21" s="32" t="s">
        <v>139</v>
      </c>
      <c r="D21" s="46">
        <v>201342.43686178231</v>
      </c>
      <c r="E21" s="46">
        <v>201342.43686178231</v>
      </c>
      <c r="F21" s="46">
        <v>170883.00999999992</v>
      </c>
      <c r="G21" s="46">
        <v>207382.70996763578</v>
      </c>
      <c r="H21" s="46">
        <v>207382.70996763578</v>
      </c>
      <c r="I21" s="46">
        <v>234918.68</v>
      </c>
      <c r="J21" s="47">
        <f t="shared" si="2"/>
        <v>-27535.970032364217</v>
      </c>
      <c r="K21" s="47"/>
      <c r="L21" s="47">
        <v>213604.19126666486</v>
      </c>
      <c r="M21" s="51">
        <f t="shared" si="0"/>
        <v>213604.19126666486</v>
      </c>
      <c r="N21" s="48">
        <f>+L21-M21</f>
        <v>0</v>
      </c>
      <c r="O21" s="47">
        <v>213604.19126666486</v>
      </c>
      <c r="P21" s="47"/>
      <c r="Q21" s="47">
        <v>213604.19126666486</v>
      </c>
      <c r="R21" s="47">
        <v>220012.3170046648</v>
      </c>
      <c r="S21" s="47"/>
      <c r="T21" s="47"/>
      <c r="U21" s="47">
        <v>233411.0671102489</v>
      </c>
      <c r="V21" s="47"/>
      <c r="W21" s="47">
        <v>240413.39912355636</v>
      </c>
      <c r="X21" s="47">
        <f t="shared" si="3"/>
        <v>247625.80109726306</v>
      </c>
      <c r="Y21" s="47">
        <f t="shared" si="4"/>
        <v>255054.57513018095</v>
      </c>
      <c r="Z21" s="43"/>
      <c r="AA21" s="44"/>
      <c r="AB21" s="2"/>
      <c r="AC21" s="2"/>
      <c r="AD21" s="2"/>
    </row>
    <row r="22" spans="1:80" ht="19.5" customHeight="1" x14ac:dyDescent="0.35">
      <c r="A22" s="31"/>
      <c r="B22" s="45" t="s">
        <v>29</v>
      </c>
      <c r="C22" s="32" t="s">
        <v>30</v>
      </c>
      <c r="D22" s="46">
        <v>224409.30820681545</v>
      </c>
      <c r="E22" s="46">
        <v>224409.30820681545</v>
      </c>
      <c r="F22" s="46">
        <v>205937.7900000001</v>
      </c>
      <c r="G22" s="46">
        <v>231141.58745301992</v>
      </c>
      <c r="H22" s="46">
        <v>231141.58745301992</v>
      </c>
      <c r="I22" s="46">
        <v>191352.95</v>
      </c>
      <c r="J22" s="47">
        <f t="shared" si="2"/>
        <v>39788.63745301991</v>
      </c>
      <c r="K22" s="47"/>
      <c r="L22" s="47">
        <v>238075.83507661053</v>
      </c>
      <c r="M22" s="47">
        <f t="shared" si="0"/>
        <v>238075.83507661053</v>
      </c>
      <c r="N22" s="48">
        <f t="shared" si="1"/>
        <v>0</v>
      </c>
      <c r="O22" s="47">
        <v>238075.83507661053</v>
      </c>
      <c r="P22" s="47"/>
      <c r="Q22" s="47">
        <v>238075.83507661053</v>
      </c>
      <c r="R22" s="47">
        <v>245218.11012890885</v>
      </c>
      <c r="S22" s="47"/>
      <c r="T22" s="47"/>
      <c r="U22" s="47">
        <v>260151.89303575942</v>
      </c>
      <c r="V22" s="47"/>
      <c r="W22" s="47">
        <v>267956.44982683222</v>
      </c>
      <c r="X22" s="47">
        <f t="shared" si="3"/>
        <v>275995.14332163718</v>
      </c>
      <c r="Y22" s="47">
        <f t="shared" si="4"/>
        <v>284274.99762128631</v>
      </c>
      <c r="Z22" s="43"/>
      <c r="AA22" s="44"/>
      <c r="AB22" s="2"/>
      <c r="AC22" s="2"/>
      <c r="AD22" s="2"/>
    </row>
    <row r="23" spans="1:80" s="55" customFormat="1" ht="19.5" customHeight="1" x14ac:dyDescent="0.35">
      <c r="A23" s="52"/>
      <c r="B23" s="53" t="s">
        <v>31</v>
      </c>
      <c r="C23" s="32" t="s">
        <v>117</v>
      </c>
      <c r="D23" s="46">
        <v>164584.85410424246</v>
      </c>
      <c r="E23" s="46">
        <v>164584.85410424246</v>
      </c>
      <c r="F23" s="46">
        <v>128968.455436</v>
      </c>
      <c r="G23" s="46">
        <v>169522.39972736975</v>
      </c>
      <c r="H23" s="46">
        <v>169522.39972736975</v>
      </c>
      <c r="I23" s="46">
        <v>20729.63</v>
      </c>
      <c r="J23" s="47">
        <f t="shared" si="2"/>
        <v>148792.76972736974</v>
      </c>
      <c r="K23" s="47"/>
      <c r="L23" s="47">
        <v>174608.07171919083</v>
      </c>
      <c r="M23" s="47">
        <f t="shared" si="0"/>
        <v>174608.07171919083</v>
      </c>
      <c r="N23" s="48">
        <f t="shared" si="1"/>
        <v>0</v>
      </c>
      <c r="O23" s="47">
        <v>174608.07171919083</v>
      </c>
      <c r="P23" s="47"/>
      <c r="Q23" s="47">
        <v>174608.07171919083</v>
      </c>
      <c r="R23" s="47">
        <v>179846.31387076655</v>
      </c>
      <c r="S23" s="47"/>
      <c r="T23" s="47"/>
      <c r="U23" s="47">
        <v>159884</v>
      </c>
      <c r="V23" s="47"/>
      <c r="W23" s="47">
        <v>164680.515262</v>
      </c>
      <c r="X23" s="47">
        <f t="shared" si="3"/>
        <v>169620.93071986001</v>
      </c>
      <c r="Y23" s="47">
        <f t="shared" si="4"/>
        <v>174709.55864145581</v>
      </c>
      <c r="Z23" s="43"/>
      <c r="AA23" s="44"/>
      <c r="AB23" s="54"/>
      <c r="AC23" s="54"/>
      <c r="AD23" s="2"/>
    </row>
    <row r="24" spans="1:80" ht="19.5" customHeight="1" x14ac:dyDescent="0.35">
      <c r="A24" s="31"/>
      <c r="B24" s="45" t="s">
        <v>32</v>
      </c>
      <c r="C24" s="32" t="s">
        <v>133</v>
      </c>
      <c r="D24" s="46">
        <v>137917</v>
      </c>
      <c r="E24" s="46">
        <v>137917</v>
      </c>
      <c r="F24" s="46">
        <v>127453.81528599997</v>
      </c>
      <c r="G24" s="46">
        <f>+D24*1.03</f>
        <v>142054.51</v>
      </c>
      <c r="H24" s="46">
        <f>+E24*1.03</f>
        <v>142054.51</v>
      </c>
      <c r="I24" s="46">
        <v>123145.44999999998</v>
      </c>
      <c r="J24" s="47">
        <f t="shared" si="2"/>
        <v>18909.060000000027</v>
      </c>
      <c r="K24" s="47"/>
      <c r="L24" s="47">
        <v>146316.1453</v>
      </c>
      <c r="M24" s="47">
        <f t="shared" si="0"/>
        <v>146316.1453</v>
      </c>
      <c r="N24" s="48">
        <f t="shared" si="1"/>
        <v>0</v>
      </c>
      <c r="O24" s="47">
        <v>146316.1453</v>
      </c>
      <c r="P24" s="47"/>
      <c r="Q24" s="47">
        <v>146316.1453</v>
      </c>
      <c r="R24" s="47">
        <v>150705.629659</v>
      </c>
      <c r="S24" s="47"/>
      <c r="T24" s="47"/>
      <c r="U24" s="47">
        <v>172614.4025052331</v>
      </c>
      <c r="V24" s="47"/>
      <c r="W24" s="47">
        <v>177792.8345803901</v>
      </c>
      <c r="X24" s="47">
        <f t="shared" si="3"/>
        <v>183126.6196178018</v>
      </c>
      <c r="Y24" s="47">
        <f t="shared" si="4"/>
        <v>188620.41820633586</v>
      </c>
      <c r="Z24" s="43"/>
      <c r="AA24" s="44"/>
      <c r="AB24" s="2"/>
      <c r="AC24" s="2"/>
      <c r="AD24" s="2"/>
    </row>
    <row r="25" spans="1:80" ht="19.5" customHeight="1" x14ac:dyDescent="0.35">
      <c r="A25" s="31"/>
      <c r="B25" s="45" t="s">
        <v>33</v>
      </c>
      <c r="C25" s="32" t="s">
        <v>34</v>
      </c>
      <c r="D25" s="46">
        <v>164584.85410424246</v>
      </c>
      <c r="E25" s="46">
        <v>164584.85410424246</v>
      </c>
      <c r="F25" s="46">
        <v>153910.05000000008</v>
      </c>
      <c r="G25" s="46">
        <v>169522.39972736975</v>
      </c>
      <c r="H25" s="46">
        <v>169522.39972736975</v>
      </c>
      <c r="I25" s="46">
        <v>144565.6</v>
      </c>
      <c r="J25" s="47">
        <f t="shared" si="2"/>
        <v>24956.79972736974</v>
      </c>
      <c r="K25" s="47"/>
      <c r="L25" s="47">
        <v>174608.07171919083</v>
      </c>
      <c r="M25" s="47">
        <f t="shared" si="0"/>
        <v>174608.07171919083</v>
      </c>
      <c r="N25" s="48">
        <f t="shared" si="1"/>
        <v>0</v>
      </c>
      <c r="O25" s="47">
        <v>174608.07171919083</v>
      </c>
      <c r="P25" s="47"/>
      <c r="Q25" s="47">
        <v>174608.07171919083</v>
      </c>
      <c r="R25" s="47">
        <v>174608.07171919083</v>
      </c>
      <c r="S25" s="47"/>
      <c r="T25" s="47"/>
      <c r="U25" s="47">
        <v>202721.34858549625</v>
      </c>
      <c r="V25" s="47"/>
      <c r="W25" s="47">
        <v>208802.98904306116</v>
      </c>
      <c r="X25" s="47">
        <f t="shared" si="3"/>
        <v>215067.078714353</v>
      </c>
      <c r="Y25" s="47">
        <f t="shared" si="4"/>
        <v>221519.0910757836</v>
      </c>
      <c r="Z25" s="43"/>
      <c r="AA25" s="44"/>
      <c r="AB25" s="2"/>
      <c r="AC25" s="2"/>
      <c r="AD25" s="2"/>
    </row>
    <row r="26" spans="1:80" ht="19.5" customHeight="1" x14ac:dyDescent="0.35">
      <c r="A26" s="31"/>
      <c r="B26" s="45" t="s">
        <v>35</v>
      </c>
      <c r="C26" s="56" t="s">
        <v>36</v>
      </c>
      <c r="D26" s="57">
        <f>120000/12*6</f>
        <v>60000</v>
      </c>
      <c r="E26" s="57">
        <f>120000/12*6</f>
        <v>60000</v>
      </c>
      <c r="F26" s="46">
        <v>45217.5</v>
      </c>
      <c r="G26" s="46">
        <f>120000*1.03</f>
        <v>123600</v>
      </c>
      <c r="H26" s="46">
        <f>120000*1.03</f>
        <v>123600</v>
      </c>
      <c r="I26" s="46">
        <v>49518.740000000005</v>
      </c>
      <c r="J26" s="47">
        <f t="shared" si="2"/>
        <v>74081.259999999995</v>
      </c>
      <c r="K26" s="47">
        <v>74081.259999999995</v>
      </c>
      <c r="L26" s="47">
        <v>127308</v>
      </c>
      <c r="M26" s="51">
        <f>+G26*1.03+74081</f>
        <v>201389</v>
      </c>
      <c r="N26" s="48">
        <f t="shared" si="1"/>
        <v>-74081</v>
      </c>
      <c r="O26" s="47">
        <v>127308</v>
      </c>
      <c r="P26" s="47">
        <v>74081</v>
      </c>
      <c r="Q26" s="47">
        <f>+O26+P26</f>
        <v>201389</v>
      </c>
      <c r="R26" s="47">
        <v>131127.24</v>
      </c>
      <c r="S26" s="47"/>
      <c r="T26" s="47"/>
      <c r="U26" s="47">
        <v>139112.888916</v>
      </c>
      <c r="V26" s="47"/>
      <c r="W26" s="47">
        <v>143286.27558347999</v>
      </c>
      <c r="X26" s="47">
        <f t="shared" si="3"/>
        <v>147584.8638509844</v>
      </c>
      <c r="Y26" s="47">
        <f t="shared" si="4"/>
        <v>152012.40976651394</v>
      </c>
      <c r="Z26" s="43"/>
      <c r="AA26" s="2"/>
      <c r="AB26" s="2"/>
      <c r="AC26" s="2"/>
      <c r="AD26" s="2"/>
    </row>
    <row r="27" spans="1:80" ht="19.5" customHeight="1" x14ac:dyDescent="0.35">
      <c r="A27" s="31"/>
      <c r="B27" s="45" t="s">
        <v>37</v>
      </c>
      <c r="C27" s="56" t="s">
        <v>38</v>
      </c>
      <c r="D27" s="57">
        <f>120000/12*6</f>
        <v>60000</v>
      </c>
      <c r="E27" s="57">
        <f>120000/12*6</f>
        <v>60000</v>
      </c>
      <c r="F27" s="46">
        <v>47155.719999999994</v>
      </c>
      <c r="G27" s="46">
        <f>120000*1.03</f>
        <v>123600</v>
      </c>
      <c r="H27" s="46">
        <f>120000*1.03</f>
        <v>123600</v>
      </c>
      <c r="I27" s="46">
        <v>48443.979999999996</v>
      </c>
      <c r="J27" s="47">
        <f t="shared" si="2"/>
        <v>75156.02</v>
      </c>
      <c r="K27" s="47">
        <v>75156.02</v>
      </c>
      <c r="L27" s="47">
        <v>127308</v>
      </c>
      <c r="M27" s="51">
        <f>+G27*1.03+75156</f>
        <v>202464</v>
      </c>
      <c r="N27" s="48">
        <f t="shared" si="1"/>
        <v>-75156</v>
      </c>
      <c r="O27" s="47">
        <v>127308</v>
      </c>
      <c r="P27" s="47">
        <v>75156</v>
      </c>
      <c r="Q27" s="47">
        <f>+O27+P27</f>
        <v>202464</v>
      </c>
      <c r="R27" s="47">
        <v>131127.24</v>
      </c>
      <c r="S27" s="47"/>
      <c r="T27" s="47"/>
      <c r="U27" s="47">
        <v>139112.888916</v>
      </c>
      <c r="V27" s="47"/>
      <c r="W27" s="47">
        <v>143286.27558347999</v>
      </c>
      <c r="X27" s="47">
        <f t="shared" si="3"/>
        <v>147584.8638509844</v>
      </c>
      <c r="Y27" s="47">
        <f t="shared" si="4"/>
        <v>152012.40976651394</v>
      </c>
      <c r="Z27" s="159" t="s">
        <v>120</v>
      </c>
      <c r="AA27" s="2"/>
      <c r="AB27" s="2"/>
      <c r="AC27" s="2"/>
      <c r="AD27" s="2"/>
    </row>
    <row r="28" spans="1:80" ht="19.5" customHeight="1" x14ac:dyDescent="0.35">
      <c r="A28" s="31"/>
      <c r="B28" s="45" t="s">
        <v>39</v>
      </c>
      <c r="C28" s="56" t="s">
        <v>40</v>
      </c>
      <c r="D28" s="57"/>
      <c r="E28" s="57"/>
      <c r="F28" s="46"/>
      <c r="G28" s="46"/>
      <c r="H28" s="46"/>
      <c r="I28" s="46"/>
      <c r="J28" s="47"/>
      <c r="K28" s="47"/>
      <c r="L28" s="47"/>
      <c r="M28" s="47"/>
      <c r="N28" s="48">
        <f t="shared" si="1"/>
        <v>0</v>
      </c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32"/>
      <c r="AA28" s="3"/>
      <c r="AB28" s="3"/>
      <c r="AC28" s="3"/>
      <c r="AD28" s="3"/>
    </row>
    <row r="29" spans="1:80" ht="19.5" customHeight="1" x14ac:dyDescent="0.35">
      <c r="A29" s="58">
        <v>1199</v>
      </c>
      <c r="B29" s="59"/>
      <c r="C29" s="60" t="s">
        <v>41</v>
      </c>
      <c r="D29" s="61">
        <f t="shared" ref="D29:J29" si="5">SUM(D13:D28)</f>
        <v>2773455.1978705665</v>
      </c>
      <c r="E29" s="61">
        <f t="shared" si="5"/>
        <v>2773455.1978705665</v>
      </c>
      <c r="F29" s="61">
        <f t="shared" si="5"/>
        <v>2163872.5707220002</v>
      </c>
      <c r="G29" s="61">
        <f t="shared" si="5"/>
        <v>2980258.8535446478</v>
      </c>
      <c r="H29" s="61">
        <f t="shared" si="5"/>
        <v>2980258.8535446478</v>
      </c>
      <c r="I29" s="61">
        <f t="shared" si="5"/>
        <v>1997983.4699999997</v>
      </c>
      <c r="J29" s="61">
        <f t="shared" si="5"/>
        <v>982275.38354464783</v>
      </c>
      <c r="K29" s="62"/>
      <c r="L29" s="62">
        <f>SUM(L13:L28)</f>
        <v>3069666.6191509874</v>
      </c>
      <c r="M29" s="62">
        <f>SUM(M13:M28)</f>
        <v>3218903.6191509874</v>
      </c>
      <c r="N29" s="48"/>
      <c r="O29" s="62">
        <f>SUM(O13:O28)</f>
        <v>3069666.6191509874</v>
      </c>
      <c r="P29" s="62">
        <f>SUM(P13:P28)</f>
        <v>149237</v>
      </c>
      <c r="Q29" s="62">
        <f>SUM(Q13:Q28)</f>
        <v>3218903.6191509874</v>
      </c>
      <c r="R29" s="62">
        <f>SUM(R13:R28)</f>
        <v>3156518.3755739415</v>
      </c>
      <c r="S29" s="62"/>
      <c r="T29" s="62"/>
      <c r="U29" s="62">
        <f>SUM(U13:U28)</f>
        <v>3365232.4155595037</v>
      </c>
      <c r="V29" s="62"/>
      <c r="W29" s="62">
        <f>SUM(W13:W28)</f>
        <v>3466189.3832882899</v>
      </c>
      <c r="X29" s="61">
        <f>SUM(X13:X28)</f>
        <v>3570175.0647869376</v>
      </c>
      <c r="Y29" s="62">
        <f>SUM(Y13:Y28)</f>
        <v>3677280.3167305458</v>
      </c>
      <c r="Z29" s="32"/>
      <c r="AA29" s="3"/>
      <c r="AB29" s="122"/>
      <c r="AC29" s="69"/>
      <c r="AD29" s="3"/>
    </row>
    <row r="30" spans="1:80" ht="19.5" customHeight="1" x14ac:dyDescent="0.35">
      <c r="A30" s="31">
        <v>1200</v>
      </c>
      <c r="B30" s="32" t="s">
        <v>42</v>
      </c>
      <c r="C30" s="32"/>
      <c r="D30" s="63"/>
      <c r="E30" s="63"/>
      <c r="F30" s="63"/>
      <c r="G30" s="63"/>
      <c r="H30" s="63"/>
      <c r="I30" s="63"/>
      <c r="J30" s="64"/>
      <c r="K30" s="64"/>
      <c r="L30" s="64"/>
      <c r="M30" s="64"/>
      <c r="N30" s="48">
        <f t="shared" si="1"/>
        <v>0</v>
      </c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32"/>
      <c r="AA30" s="3"/>
      <c r="AB30" s="3"/>
      <c r="AC30" s="3"/>
      <c r="AD30" s="3"/>
    </row>
    <row r="31" spans="1:80" ht="19.5" customHeight="1" x14ac:dyDescent="0.35">
      <c r="A31" s="31"/>
      <c r="B31" s="32" t="s">
        <v>16</v>
      </c>
      <c r="C31" s="32" t="s">
        <v>43</v>
      </c>
      <c r="D31" s="63">
        <v>54100</v>
      </c>
      <c r="E31" s="63">
        <v>87500</v>
      </c>
      <c r="F31" s="63">
        <v>14964</v>
      </c>
      <c r="G31" s="63">
        <v>75000</v>
      </c>
      <c r="H31" s="63">
        <f>75000+25000</f>
        <v>100000</v>
      </c>
      <c r="I31" s="63">
        <v>97193.63</v>
      </c>
      <c r="J31" s="47">
        <f>+H31-I31</f>
        <v>2806.3699999999953</v>
      </c>
      <c r="K31" s="47"/>
      <c r="L31" s="64">
        <v>75000</v>
      </c>
      <c r="M31" s="64">
        <v>75000</v>
      </c>
      <c r="N31" s="48">
        <f t="shared" si="1"/>
        <v>0</v>
      </c>
      <c r="O31" s="64">
        <v>75000</v>
      </c>
      <c r="P31" s="64"/>
      <c r="Q31" s="64">
        <v>75000</v>
      </c>
      <c r="R31" s="64">
        <v>75000</v>
      </c>
      <c r="S31" s="64"/>
      <c r="T31" s="64"/>
      <c r="U31" s="64">
        <v>75000</v>
      </c>
      <c r="V31" s="64"/>
      <c r="W31" s="64">
        <v>75000</v>
      </c>
      <c r="X31" s="64">
        <v>75000</v>
      </c>
      <c r="Y31" s="64">
        <v>75000</v>
      </c>
      <c r="Z31" s="32"/>
      <c r="AA31" s="3"/>
      <c r="AB31" s="3"/>
      <c r="AC31" s="3"/>
      <c r="AD31" s="3"/>
    </row>
    <row r="32" spans="1:80" ht="19.5" customHeight="1" x14ac:dyDescent="0.35">
      <c r="A32" s="58">
        <v>1299</v>
      </c>
      <c r="B32" s="66"/>
      <c r="C32" s="60" t="s">
        <v>41</v>
      </c>
      <c r="D32" s="67" t="e">
        <f>SUM(#REF!)</f>
        <v>#REF!</v>
      </c>
      <c r="E32" s="67" t="e">
        <f>SUM(#REF!)</f>
        <v>#REF!</v>
      </c>
      <c r="F32" s="67">
        <f>SUM(F31:F31)</f>
        <v>14964</v>
      </c>
      <c r="G32" s="67">
        <f>SUM(G31:G31)</f>
        <v>75000</v>
      </c>
      <c r="H32" s="67">
        <f>SUM(H31:H31)</f>
        <v>100000</v>
      </c>
      <c r="I32" s="67">
        <f>SUM(I31:I31)</f>
        <v>97193.63</v>
      </c>
      <c r="J32" s="67">
        <f>SUM(J31:J31)</f>
        <v>2806.3699999999953</v>
      </c>
      <c r="K32" s="67"/>
      <c r="L32" s="67">
        <f>SUM(L31:L31)</f>
        <v>75000</v>
      </c>
      <c r="M32" s="67">
        <f>SUM(M31:M31)</f>
        <v>75000</v>
      </c>
      <c r="N32" s="48">
        <f t="shared" si="1"/>
        <v>0</v>
      </c>
      <c r="O32" s="67">
        <f>SUM(O31:O31)</f>
        <v>75000</v>
      </c>
      <c r="P32" s="67">
        <f>SUM(P31:P31)</f>
        <v>0</v>
      </c>
      <c r="Q32" s="67">
        <f>SUM(Q31:Q31)</f>
        <v>75000</v>
      </c>
      <c r="R32" s="67">
        <f>SUM(R31:R31)</f>
        <v>75000</v>
      </c>
      <c r="S32" s="67"/>
      <c r="T32" s="67"/>
      <c r="U32" s="67">
        <f>SUM(U31:U31)</f>
        <v>75000</v>
      </c>
      <c r="V32" s="67"/>
      <c r="W32" s="67">
        <f>SUM(W31:W31)</f>
        <v>75000</v>
      </c>
      <c r="X32" s="67">
        <f>SUM(X31:X31)</f>
        <v>75000</v>
      </c>
      <c r="Y32" s="67">
        <f>SUM(Y31:Y31)</f>
        <v>75000</v>
      </c>
      <c r="Z32" s="46"/>
      <c r="AA32" s="3"/>
      <c r="AB32" s="3"/>
      <c r="AC32" s="3"/>
      <c r="AD32" s="3"/>
    </row>
    <row r="33" spans="1:30" ht="19.5" customHeight="1" x14ac:dyDescent="0.35">
      <c r="A33" s="31">
        <v>1300</v>
      </c>
      <c r="B33" s="68" t="s">
        <v>44</v>
      </c>
      <c r="C33" s="32"/>
      <c r="D33" s="46"/>
      <c r="E33" s="46"/>
      <c r="F33" s="63"/>
      <c r="G33" s="63"/>
      <c r="H33" s="63"/>
      <c r="I33" s="63"/>
      <c r="J33" s="64"/>
      <c r="K33" s="64"/>
      <c r="L33" s="64"/>
      <c r="M33" s="64"/>
      <c r="N33" s="48">
        <f t="shared" si="1"/>
        <v>0</v>
      </c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32"/>
      <c r="AA33" s="3"/>
      <c r="AB33" s="69"/>
      <c r="AC33" s="3"/>
      <c r="AD33" s="3"/>
    </row>
    <row r="34" spans="1:30" ht="19.5" customHeight="1" x14ac:dyDescent="0.35">
      <c r="A34" s="45"/>
      <c r="B34" s="53" t="s">
        <v>16</v>
      </c>
      <c r="C34" s="32" t="s">
        <v>45</v>
      </c>
      <c r="D34" s="46">
        <f>94591/12*6+205</f>
        <v>47500.5</v>
      </c>
      <c r="E34" s="46">
        <f>94591/12*6+205</f>
        <v>47500.5</v>
      </c>
      <c r="F34" s="46">
        <v>32247.515436000012</v>
      </c>
      <c r="G34" s="46">
        <v>0</v>
      </c>
      <c r="H34" s="46">
        <v>0</v>
      </c>
      <c r="I34" s="46">
        <v>0</v>
      </c>
      <c r="J34" s="47"/>
      <c r="K34" s="47"/>
      <c r="L34" s="47"/>
      <c r="M34" s="47"/>
      <c r="N34" s="48">
        <f t="shared" si="1"/>
        <v>0</v>
      </c>
      <c r="O34" s="47"/>
      <c r="P34" s="47"/>
      <c r="Q34" s="47"/>
      <c r="R34" s="47"/>
      <c r="S34" s="47"/>
      <c r="T34" s="47"/>
      <c r="U34" s="47">
        <v>0</v>
      </c>
      <c r="V34" s="47"/>
      <c r="W34" s="47">
        <v>0</v>
      </c>
      <c r="X34" s="47">
        <v>0</v>
      </c>
      <c r="Y34" s="47">
        <v>0</v>
      </c>
      <c r="Z34" s="32"/>
      <c r="AA34" s="3"/>
      <c r="AB34" s="69"/>
      <c r="AC34" s="3"/>
      <c r="AD34" s="3"/>
    </row>
    <row r="35" spans="1:30" ht="19.5" customHeight="1" x14ac:dyDescent="0.35">
      <c r="A35" s="45"/>
      <c r="B35" s="53" t="s">
        <v>18</v>
      </c>
      <c r="C35" s="32" t="s">
        <v>46</v>
      </c>
      <c r="D35" s="46">
        <v>94591</v>
      </c>
      <c r="E35" s="46">
        <v>94591</v>
      </c>
      <c r="F35" s="46">
        <v>77857.428499999995</v>
      </c>
      <c r="G35" s="46">
        <v>97428.73</v>
      </c>
      <c r="H35" s="46">
        <v>97428.73</v>
      </c>
      <c r="I35" s="46">
        <v>70874.13</v>
      </c>
      <c r="J35" s="47">
        <f t="shared" ref="J35:J48" si="6">+H35-I35</f>
        <v>26554.599999999991</v>
      </c>
      <c r="K35" s="47"/>
      <c r="L35" s="47">
        <v>100351.5919</v>
      </c>
      <c r="M35" s="47">
        <f>+G35*1.03</f>
        <v>100351.5919</v>
      </c>
      <c r="N35" s="48">
        <f t="shared" si="1"/>
        <v>0</v>
      </c>
      <c r="O35" s="47">
        <v>100351.5919</v>
      </c>
      <c r="P35" s="47"/>
      <c r="Q35" s="47">
        <v>100351.5919</v>
      </c>
      <c r="R35" s="47">
        <v>103362.13965700001</v>
      </c>
      <c r="S35" s="47"/>
      <c r="T35" s="47"/>
      <c r="U35" s="47">
        <v>109656.89396211131</v>
      </c>
      <c r="V35" s="47"/>
      <c r="W35" s="47">
        <v>112946.60078097465</v>
      </c>
      <c r="X35" s="47">
        <f>+W35*1.03</f>
        <v>116334.99880440389</v>
      </c>
      <c r="Y35" s="47">
        <f>+X35*1.03</f>
        <v>119825.04876853601</v>
      </c>
      <c r="Z35" s="43"/>
      <c r="AA35" s="3"/>
      <c r="AB35" s="69"/>
      <c r="AC35" s="69"/>
      <c r="AD35" s="3"/>
    </row>
    <row r="36" spans="1:30" ht="19.5" customHeight="1" x14ac:dyDescent="0.35">
      <c r="A36" s="45"/>
      <c r="B36" s="53" t="s">
        <v>20</v>
      </c>
      <c r="C36" s="32" t="s">
        <v>134</v>
      </c>
      <c r="D36" s="46">
        <v>94590.945092354799</v>
      </c>
      <c r="E36" s="46">
        <v>94590.945092354799</v>
      </c>
      <c r="F36" s="46">
        <v>80178.777197999982</v>
      </c>
      <c r="G36" s="46">
        <v>97429</v>
      </c>
      <c r="H36" s="46">
        <v>97429</v>
      </c>
      <c r="I36" s="46">
        <v>68733.78</v>
      </c>
      <c r="J36" s="47">
        <f t="shared" si="6"/>
        <v>28695.22</v>
      </c>
      <c r="K36" s="47">
        <v>21227</v>
      </c>
      <c r="L36" s="47">
        <v>100351.87</v>
      </c>
      <c r="M36" s="47">
        <f>+G36*1.03+21227</f>
        <v>121578.87</v>
      </c>
      <c r="N36" s="47">
        <f t="shared" si="1"/>
        <v>-21227</v>
      </c>
      <c r="O36" s="47">
        <v>100351.87</v>
      </c>
      <c r="P36" s="47">
        <v>21227</v>
      </c>
      <c r="Q36" s="47">
        <f>+O36+P36</f>
        <v>121578.87</v>
      </c>
      <c r="R36" s="47">
        <v>103362.4261</v>
      </c>
      <c r="S36" s="47"/>
      <c r="T36" s="47"/>
      <c r="U36" s="47">
        <v>103759.20269999999</v>
      </c>
      <c r="V36" s="47"/>
      <c r="W36" s="47">
        <v>106871.978781</v>
      </c>
      <c r="X36" s="47">
        <f t="shared" ref="X36:X48" si="7">+W36*1.03</f>
        <v>110078.13814443001</v>
      </c>
      <c r="Y36" s="47">
        <f t="shared" ref="Y36:Y42" si="8">+X36*1.03</f>
        <v>113380.48228876291</v>
      </c>
      <c r="Z36" s="43"/>
      <c r="AA36" s="3"/>
      <c r="AB36" s="3"/>
      <c r="AC36" s="69"/>
      <c r="AD36" s="3"/>
    </row>
    <row r="37" spans="1:30" ht="19.5" customHeight="1" x14ac:dyDescent="0.35">
      <c r="A37" s="45"/>
      <c r="B37" s="53" t="s">
        <v>22</v>
      </c>
      <c r="C37" s="32" t="s">
        <v>134</v>
      </c>
      <c r="D37" s="46">
        <v>70067.366735077623</v>
      </c>
      <c r="E37" s="46">
        <v>70067.366735077623</v>
      </c>
      <c r="F37" s="46">
        <v>35254.497478999998</v>
      </c>
      <c r="G37" s="46">
        <v>72169.38773712996</v>
      </c>
      <c r="H37" s="46">
        <v>72169.38773712996</v>
      </c>
      <c r="I37" s="46">
        <v>44130.39</v>
      </c>
      <c r="J37" s="47">
        <f t="shared" si="6"/>
        <v>28038.997737129961</v>
      </c>
      <c r="K37" s="47"/>
      <c r="L37" s="47">
        <v>74334.46936924386</v>
      </c>
      <c r="M37" s="47">
        <f t="shared" ref="M37:M42" si="9">+G37*1.03</f>
        <v>74334.46936924386</v>
      </c>
      <c r="N37" s="47">
        <f t="shared" si="1"/>
        <v>0</v>
      </c>
      <c r="O37" s="47">
        <v>74334.46936924386</v>
      </c>
      <c r="P37" s="47"/>
      <c r="Q37" s="47">
        <v>74334.46936924386</v>
      </c>
      <c r="R37" s="47">
        <v>76564.503450321179</v>
      </c>
      <c r="S37" s="47"/>
      <c r="T37" s="47"/>
      <c r="U37" s="47">
        <v>86993.8</v>
      </c>
      <c r="V37" s="47"/>
      <c r="W37" s="47">
        <v>89603.614000000001</v>
      </c>
      <c r="X37" s="47">
        <f t="shared" si="7"/>
        <v>92291.722420000006</v>
      </c>
      <c r="Y37" s="47">
        <f t="shared" si="8"/>
        <v>95060.474092600009</v>
      </c>
      <c r="Z37" s="43"/>
      <c r="AA37" s="3"/>
      <c r="AB37" s="3"/>
      <c r="AC37" s="69"/>
      <c r="AD37" s="3"/>
    </row>
    <row r="38" spans="1:30" ht="19.5" customHeight="1" x14ac:dyDescent="0.35">
      <c r="A38" s="45"/>
      <c r="B38" s="53" t="s">
        <v>23</v>
      </c>
      <c r="C38" s="32" t="s">
        <v>135</v>
      </c>
      <c r="D38" s="46">
        <v>70067.366735077623</v>
      </c>
      <c r="E38" s="46">
        <v>70067.366735077623</v>
      </c>
      <c r="F38" s="46">
        <v>62174.698078999994</v>
      </c>
      <c r="G38" s="46">
        <v>72169.38773712996</v>
      </c>
      <c r="H38" s="46">
        <v>72169.38773712996</v>
      </c>
      <c r="I38" s="46">
        <v>57145.32</v>
      </c>
      <c r="J38" s="47">
        <f t="shared" si="6"/>
        <v>15024.067737129961</v>
      </c>
      <c r="K38" s="47"/>
      <c r="L38" s="47">
        <v>74334.46936924386</v>
      </c>
      <c r="M38" s="47">
        <f t="shared" si="9"/>
        <v>74334.46936924386</v>
      </c>
      <c r="N38" s="47">
        <f t="shared" si="1"/>
        <v>0</v>
      </c>
      <c r="O38" s="47">
        <v>74334.46936924386</v>
      </c>
      <c r="P38" s="47"/>
      <c r="Q38" s="47">
        <v>74334.46936924386</v>
      </c>
      <c r="R38" s="47">
        <v>76564.503450321179</v>
      </c>
      <c r="S38" s="47"/>
      <c r="T38" s="47"/>
      <c r="U38" s="47">
        <v>81227.281710445735</v>
      </c>
      <c r="V38" s="47"/>
      <c r="W38" s="47">
        <v>83664.10016175911</v>
      </c>
      <c r="X38" s="47">
        <f t="shared" si="7"/>
        <v>86174.023166611893</v>
      </c>
      <c r="Y38" s="47">
        <f t="shared" si="8"/>
        <v>88759.243861610244</v>
      </c>
      <c r="Z38" s="43"/>
      <c r="AA38" s="3"/>
      <c r="AB38" s="3"/>
      <c r="AC38" s="69"/>
      <c r="AD38" s="3"/>
    </row>
    <row r="39" spans="1:30" ht="19.5" customHeight="1" x14ac:dyDescent="0.35">
      <c r="A39" s="45"/>
      <c r="B39" s="45" t="s">
        <v>24</v>
      </c>
      <c r="C39" s="32" t="s">
        <v>136</v>
      </c>
      <c r="D39" s="46">
        <v>89504.054267388172</v>
      </c>
      <c r="E39" s="46">
        <v>89504.054267388172</v>
      </c>
      <c r="F39" s="46">
        <v>72698.478435000012</v>
      </c>
      <c r="G39" s="46">
        <v>92189.175895409819</v>
      </c>
      <c r="H39" s="46">
        <v>92189.175895409819</v>
      </c>
      <c r="I39" s="46">
        <v>57145.32</v>
      </c>
      <c r="J39" s="47">
        <f t="shared" si="6"/>
        <v>35043.855895409819</v>
      </c>
      <c r="K39" s="47"/>
      <c r="L39" s="47">
        <v>94954.851172272116</v>
      </c>
      <c r="M39" s="47">
        <f t="shared" si="9"/>
        <v>94954.851172272116</v>
      </c>
      <c r="N39" s="47">
        <f t="shared" si="1"/>
        <v>0</v>
      </c>
      <c r="O39" s="47">
        <v>94954.851172272116</v>
      </c>
      <c r="P39" s="47"/>
      <c r="Q39" s="47">
        <v>94954.851172272116</v>
      </c>
      <c r="R39" s="47">
        <v>97803.496707440281</v>
      </c>
      <c r="S39" s="47"/>
      <c r="T39" s="47"/>
      <c r="U39" s="47">
        <v>103759.7296569234</v>
      </c>
      <c r="V39" s="47"/>
      <c r="W39" s="47">
        <v>106872.52154663111</v>
      </c>
      <c r="X39" s="47">
        <f t="shared" si="7"/>
        <v>110078.69719303004</v>
      </c>
      <c r="Y39" s="47">
        <f t="shared" si="8"/>
        <v>113381.05810882094</v>
      </c>
      <c r="Z39" s="43"/>
      <c r="AA39" s="3"/>
      <c r="AB39" s="3"/>
      <c r="AC39" s="3"/>
      <c r="AD39" s="3"/>
    </row>
    <row r="40" spans="1:30" ht="19.5" customHeight="1" x14ac:dyDescent="0.35">
      <c r="A40" s="45"/>
      <c r="B40" s="45" t="s">
        <v>25</v>
      </c>
      <c r="C40" s="32" t="s">
        <v>135</v>
      </c>
      <c r="D40" s="46">
        <v>74054.199902303561</v>
      </c>
      <c r="E40" s="46">
        <v>74054.199902303561</v>
      </c>
      <c r="F40" s="46">
        <v>68023.187993999993</v>
      </c>
      <c r="G40" s="46">
        <v>76275.825899372663</v>
      </c>
      <c r="H40" s="46">
        <v>76275.825899372663</v>
      </c>
      <c r="I40" s="46">
        <v>61493.83</v>
      </c>
      <c r="J40" s="47">
        <f t="shared" si="6"/>
        <v>14781.995899372661</v>
      </c>
      <c r="K40" s="47"/>
      <c r="L40" s="47">
        <v>78564.100676353846</v>
      </c>
      <c r="M40" s="47">
        <f t="shared" si="9"/>
        <v>78564.100676353846</v>
      </c>
      <c r="N40" s="47">
        <f t="shared" si="1"/>
        <v>0</v>
      </c>
      <c r="O40" s="47">
        <v>78564.100676353846</v>
      </c>
      <c r="P40" s="47"/>
      <c r="Q40" s="47">
        <v>78564.100676353846</v>
      </c>
      <c r="R40" s="47">
        <v>80921.023696644465</v>
      </c>
      <c r="S40" s="47"/>
      <c r="T40" s="47"/>
      <c r="U40" s="47">
        <v>85849.114039770109</v>
      </c>
      <c r="V40" s="47"/>
      <c r="W40" s="47">
        <v>88424.587460963216</v>
      </c>
      <c r="X40" s="47">
        <f t="shared" si="7"/>
        <v>91077.325084792115</v>
      </c>
      <c r="Y40" s="47">
        <f t="shared" si="8"/>
        <v>93809.644837335887</v>
      </c>
      <c r="Z40" s="43"/>
      <c r="AA40" s="3"/>
      <c r="AB40" s="3"/>
      <c r="AC40" s="3"/>
      <c r="AD40" s="3"/>
    </row>
    <row r="41" spans="1:30" ht="19.5" customHeight="1" x14ac:dyDescent="0.35">
      <c r="A41" s="45"/>
      <c r="B41" s="45" t="s">
        <v>26</v>
      </c>
      <c r="C41" s="32" t="s">
        <v>137</v>
      </c>
      <c r="D41" s="46">
        <v>79441.458883307962</v>
      </c>
      <c r="E41" s="46">
        <v>79441.458883307962</v>
      </c>
      <c r="F41" s="46">
        <v>67530.749999999985</v>
      </c>
      <c r="G41" s="46">
        <v>81824.702649807208</v>
      </c>
      <c r="H41" s="46">
        <v>81824.702649807208</v>
      </c>
      <c r="I41" s="46">
        <v>32845.130000000005</v>
      </c>
      <c r="J41" s="47">
        <f t="shared" si="6"/>
        <v>48979.572649807204</v>
      </c>
      <c r="K41" s="47"/>
      <c r="L41" s="47">
        <v>84279.44372930142</v>
      </c>
      <c r="M41" s="47">
        <f t="shared" si="9"/>
        <v>84279.44372930142</v>
      </c>
      <c r="N41" s="47">
        <f t="shared" si="1"/>
        <v>0</v>
      </c>
      <c r="O41" s="47">
        <v>84279.44372930142</v>
      </c>
      <c r="P41" s="47"/>
      <c r="Q41" s="47">
        <v>84279.44372930142</v>
      </c>
      <c r="R41" s="47">
        <v>86807.82704118047</v>
      </c>
      <c r="S41" s="47"/>
      <c r="T41" s="47"/>
      <c r="U41" s="47">
        <v>92094.423707988375</v>
      </c>
      <c r="V41" s="47"/>
      <c r="W41" s="47">
        <v>94857.256419228026</v>
      </c>
      <c r="X41" s="47">
        <f t="shared" si="7"/>
        <v>97702.97411180487</v>
      </c>
      <c r="Y41" s="47">
        <f t="shared" si="8"/>
        <v>100634.06333515902</v>
      </c>
      <c r="Z41" s="43"/>
      <c r="AA41" s="3"/>
      <c r="AB41" s="3"/>
      <c r="AC41" s="3"/>
      <c r="AD41" s="3"/>
    </row>
    <row r="42" spans="1:30" ht="19.5" customHeight="1" x14ac:dyDescent="0.35">
      <c r="A42" s="45"/>
      <c r="B42" s="70" t="s">
        <v>28</v>
      </c>
      <c r="C42" s="32" t="s">
        <v>131</v>
      </c>
      <c r="D42" s="46">
        <v>60526.825815853692</v>
      </c>
      <c r="E42" s="46">
        <v>60526.825815853692</v>
      </c>
      <c r="F42" s="46">
        <v>37223.119174999993</v>
      </c>
      <c r="G42" s="46">
        <v>62342.630590329303</v>
      </c>
      <c r="H42" s="46">
        <v>62342.630590329303</v>
      </c>
      <c r="I42" s="46">
        <v>46489.33</v>
      </c>
      <c r="J42" s="47">
        <f t="shared" si="6"/>
        <v>15853.300590329301</v>
      </c>
      <c r="K42" s="47"/>
      <c r="L42" s="47">
        <v>64212.909508039185</v>
      </c>
      <c r="M42" s="47">
        <f t="shared" si="9"/>
        <v>64212.909508039185</v>
      </c>
      <c r="N42" s="47">
        <f t="shared" si="1"/>
        <v>0</v>
      </c>
      <c r="O42" s="47">
        <v>64212.909508039185</v>
      </c>
      <c r="P42" s="47"/>
      <c r="Q42" s="47">
        <v>64212.909508039185</v>
      </c>
      <c r="R42" s="47">
        <v>66139.296793280359</v>
      </c>
      <c r="S42" s="47"/>
      <c r="T42" s="47"/>
      <c r="U42" s="47">
        <v>70167.179967991135</v>
      </c>
      <c r="V42" s="47"/>
      <c r="W42" s="47">
        <v>72272.195367030872</v>
      </c>
      <c r="X42" s="47">
        <f t="shared" si="7"/>
        <v>74440.361228041802</v>
      </c>
      <c r="Y42" s="47">
        <f t="shared" si="8"/>
        <v>76673.572064883061</v>
      </c>
      <c r="Z42" s="159" t="s">
        <v>121</v>
      </c>
      <c r="AA42" s="3"/>
      <c r="AB42" s="3"/>
      <c r="AC42" s="3"/>
      <c r="AD42" s="3"/>
    </row>
    <row r="43" spans="1:30" ht="19.5" customHeight="1" x14ac:dyDescent="0.35">
      <c r="A43" s="45"/>
      <c r="B43" s="71">
        <v>10</v>
      </c>
      <c r="C43" s="32" t="s">
        <v>47</v>
      </c>
      <c r="D43" s="46">
        <f>94591/12*6+205</f>
        <v>47500.5</v>
      </c>
      <c r="E43" s="46">
        <f>94591/12*6+205</f>
        <v>47500.5</v>
      </c>
      <c r="F43" s="46">
        <v>35658.138032000003</v>
      </c>
      <c r="G43" s="46">
        <v>0</v>
      </c>
      <c r="H43" s="46">
        <v>0</v>
      </c>
      <c r="I43" s="46">
        <v>0</v>
      </c>
      <c r="J43" s="47">
        <f t="shared" si="6"/>
        <v>0</v>
      </c>
      <c r="K43" s="47"/>
      <c r="L43" s="47"/>
      <c r="M43" s="47"/>
      <c r="N43" s="47">
        <f t="shared" si="1"/>
        <v>0</v>
      </c>
      <c r="O43" s="47"/>
      <c r="P43" s="47"/>
      <c r="Q43" s="47"/>
      <c r="R43" s="47"/>
      <c r="S43" s="47"/>
      <c r="T43" s="47"/>
      <c r="U43" s="47">
        <v>0</v>
      </c>
      <c r="V43" s="47"/>
      <c r="W43" s="47">
        <v>0</v>
      </c>
      <c r="X43" s="47">
        <f t="shared" si="7"/>
        <v>0</v>
      </c>
      <c r="Y43" s="47"/>
      <c r="Z43" s="32"/>
      <c r="AA43" s="3"/>
      <c r="AB43" s="3"/>
      <c r="AC43" s="3"/>
      <c r="AD43" s="3"/>
    </row>
    <row r="44" spans="1:30" ht="19.5" customHeight="1" x14ac:dyDescent="0.35">
      <c r="A44" s="45"/>
      <c r="B44" s="71">
        <v>11</v>
      </c>
      <c r="C44" s="32" t="s">
        <v>135</v>
      </c>
      <c r="D44" s="46">
        <v>70067.366735077623</v>
      </c>
      <c r="E44" s="46">
        <v>70067.366735077623</v>
      </c>
      <c r="F44" s="46">
        <v>38631.909999999996</v>
      </c>
      <c r="G44" s="46">
        <v>72169.38773712996</v>
      </c>
      <c r="H44" s="46">
        <v>72169.38773712996</v>
      </c>
      <c r="I44" s="46">
        <v>52962.98</v>
      </c>
      <c r="J44" s="47">
        <f t="shared" si="6"/>
        <v>19206.407737129957</v>
      </c>
      <c r="K44" s="47"/>
      <c r="L44" s="47">
        <v>74334.46936924386</v>
      </c>
      <c r="M44" s="47">
        <f>+G44*1.03</f>
        <v>74334.46936924386</v>
      </c>
      <c r="N44" s="47">
        <f t="shared" si="1"/>
        <v>0</v>
      </c>
      <c r="O44" s="47">
        <v>74334.46936924386</v>
      </c>
      <c r="P44" s="47"/>
      <c r="Q44" s="47">
        <v>74334.46936924386</v>
      </c>
      <c r="R44" s="47">
        <v>76564.503450321179</v>
      </c>
      <c r="S44" s="47"/>
      <c r="T44" s="47"/>
      <c r="U44" s="47">
        <v>81227.281710445735</v>
      </c>
      <c r="V44" s="47"/>
      <c r="W44" s="47">
        <v>83664.10016175911</v>
      </c>
      <c r="X44" s="47">
        <f t="shared" si="7"/>
        <v>86174.023166611893</v>
      </c>
      <c r="Y44" s="47">
        <f>+X44*1.03</f>
        <v>88759.243861610244</v>
      </c>
      <c r="Z44" s="119"/>
      <c r="AA44" s="3"/>
      <c r="AB44" s="3"/>
      <c r="AC44" s="3"/>
      <c r="AD44" s="3"/>
    </row>
    <row r="45" spans="1:30" ht="22.2" customHeight="1" x14ac:dyDescent="0.35">
      <c r="A45" s="45"/>
      <c r="B45" s="71">
        <v>12</v>
      </c>
      <c r="C45" s="32" t="s">
        <v>126</v>
      </c>
      <c r="D45" s="46">
        <v>0</v>
      </c>
      <c r="E45" s="46">
        <v>0</v>
      </c>
      <c r="F45" s="46"/>
      <c r="G45" s="46">
        <v>0</v>
      </c>
      <c r="H45" s="46">
        <v>0</v>
      </c>
      <c r="I45" s="46">
        <v>0</v>
      </c>
      <c r="J45" s="47">
        <f t="shared" si="6"/>
        <v>0</v>
      </c>
      <c r="K45" s="47"/>
      <c r="L45" s="47">
        <v>0</v>
      </c>
      <c r="M45" s="47">
        <v>0</v>
      </c>
      <c r="N45" s="47">
        <f t="shared" si="1"/>
        <v>0</v>
      </c>
      <c r="O45" s="47">
        <v>0</v>
      </c>
      <c r="P45" s="47"/>
      <c r="Q45" s="47">
        <v>0</v>
      </c>
      <c r="R45" s="47">
        <v>0</v>
      </c>
      <c r="S45" s="47"/>
      <c r="T45" s="47"/>
      <c r="U45" s="47">
        <v>0</v>
      </c>
      <c r="V45" s="47"/>
      <c r="W45" s="47">
        <v>0</v>
      </c>
      <c r="X45" s="47">
        <f t="shared" si="7"/>
        <v>0</v>
      </c>
      <c r="Y45" s="47">
        <f>+X45*1.03</f>
        <v>0</v>
      </c>
      <c r="Z45" s="158" t="s">
        <v>127</v>
      </c>
      <c r="AA45" s="3"/>
      <c r="AB45" s="3"/>
      <c r="AC45" s="3"/>
      <c r="AD45" s="3"/>
    </row>
    <row r="46" spans="1:30" ht="19.5" customHeight="1" x14ac:dyDescent="0.35">
      <c r="A46" s="45"/>
      <c r="B46" s="71">
        <v>13</v>
      </c>
      <c r="C46" s="32" t="s">
        <v>135</v>
      </c>
      <c r="D46" s="72">
        <v>70067.366735077623</v>
      </c>
      <c r="E46" s="72">
        <v>70067.366735077623</v>
      </c>
      <c r="F46" s="46">
        <v>55558.906006999969</v>
      </c>
      <c r="G46" s="46">
        <v>72169.38773712996</v>
      </c>
      <c r="H46" s="46">
        <f>72169.39-25000</f>
        <v>47169.39</v>
      </c>
      <c r="I46" s="46">
        <v>26770.92</v>
      </c>
      <c r="J46" s="47">
        <f t="shared" si="6"/>
        <v>20398.47</v>
      </c>
      <c r="K46" s="47"/>
      <c r="L46" s="47">
        <v>74334.46936924386</v>
      </c>
      <c r="M46" s="47">
        <f>+G46*1.03</f>
        <v>74334.46936924386</v>
      </c>
      <c r="N46" s="47">
        <f t="shared" si="1"/>
        <v>0</v>
      </c>
      <c r="O46" s="47">
        <v>74334.46936924386</v>
      </c>
      <c r="P46" s="47"/>
      <c r="Q46" s="47">
        <v>74334.46936924386</v>
      </c>
      <c r="R46" s="47">
        <v>76564.503450321179</v>
      </c>
      <c r="S46" s="47"/>
      <c r="T46" s="47"/>
      <c r="U46" s="47">
        <v>81227.281710445735</v>
      </c>
      <c r="V46" s="47"/>
      <c r="W46" s="47">
        <v>83664.10016175911</v>
      </c>
      <c r="X46" s="47">
        <f t="shared" si="7"/>
        <v>86174.023166611893</v>
      </c>
      <c r="Y46" s="47">
        <f>+X46*1.03</f>
        <v>88759.243861610244</v>
      </c>
      <c r="Z46" s="156"/>
      <c r="AA46" s="3"/>
      <c r="AB46" s="3"/>
      <c r="AC46" s="3"/>
      <c r="AD46" s="3"/>
    </row>
    <row r="47" spans="1:30" ht="19.5" customHeight="1" x14ac:dyDescent="0.35">
      <c r="A47" s="45"/>
      <c r="B47" s="71">
        <v>14</v>
      </c>
      <c r="C47" s="32" t="s">
        <v>135</v>
      </c>
      <c r="D47" s="72">
        <v>70067.366735077623</v>
      </c>
      <c r="E47" s="72">
        <v>70067.366735077623</v>
      </c>
      <c r="F47" s="46">
        <v>65725.157722999997</v>
      </c>
      <c r="G47" s="46">
        <v>70067.366735077623</v>
      </c>
      <c r="H47" s="46">
        <v>70067.366735077623</v>
      </c>
      <c r="I47" s="46">
        <v>62302.9</v>
      </c>
      <c r="J47" s="47">
        <f t="shared" si="6"/>
        <v>7764.4667350776217</v>
      </c>
      <c r="K47" s="47"/>
      <c r="L47" s="47">
        <v>72169.38773712996</v>
      </c>
      <c r="M47" s="47">
        <f>+G47*1.03</f>
        <v>72169.38773712996</v>
      </c>
      <c r="N47" s="47">
        <f t="shared" si="1"/>
        <v>0</v>
      </c>
      <c r="O47" s="47">
        <v>72169.38773712996</v>
      </c>
      <c r="P47" s="47"/>
      <c r="Q47" s="47">
        <v>72169.38773712996</v>
      </c>
      <c r="R47" s="47">
        <v>74334.46936924386</v>
      </c>
      <c r="S47" s="47"/>
      <c r="T47" s="47"/>
      <c r="U47" s="47">
        <v>78861.438553830812</v>
      </c>
      <c r="V47" s="47"/>
      <c r="W47" s="47">
        <v>81227.281710445735</v>
      </c>
      <c r="X47" s="47">
        <f t="shared" si="7"/>
        <v>83664.10016175911</v>
      </c>
      <c r="Y47" s="47">
        <f>+X47*1.03</f>
        <v>86174.023166611893</v>
      </c>
      <c r="Z47" s="43"/>
      <c r="AA47" s="3"/>
      <c r="AB47" s="3"/>
      <c r="AC47" s="3"/>
      <c r="AD47" s="3"/>
    </row>
    <row r="48" spans="1:30" ht="22.5" customHeight="1" x14ac:dyDescent="0.35">
      <c r="A48" s="45"/>
      <c r="B48" s="71">
        <v>15</v>
      </c>
      <c r="C48" s="71" t="s">
        <v>138</v>
      </c>
      <c r="D48" s="72">
        <v>0</v>
      </c>
      <c r="E48" s="72">
        <v>0</v>
      </c>
      <c r="F48" s="46">
        <v>0</v>
      </c>
      <c r="G48" s="46">
        <v>0</v>
      </c>
      <c r="H48" s="46">
        <v>0</v>
      </c>
      <c r="I48" s="46">
        <v>0</v>
      </c>
      <c r="J48" s="47">
        <f t="shared" si="6"/>
        <v>0</v>
      </c>
      <c r="K48" s="47"/>
      <c r="L48" s="47">
        <v>0</v>
      </c>
      <c r="M48" s="47">
        <v>0</v>
      </c>
      <c r="N48" s="47">
        <f t="shared" si="1"/>
        <v>0</v>
      </c>
      <c r="O48" s="47">
        <v>0</v>
      </c>
      <c r="P48" s="47"/>
      <c r="Q48" s="47">
        <v>0</v>
      </c>
      <c r="R48" s="47">
        <v>0</v>
      </c>
      <c r="S48" s="47"/>
      <c r="T48" s="47"/>
      <c r="U48" s="47">
        <v>0</v>
      </c>
      <c r="V48" s="47"/>
      <c r="W48" s="47">
        <v>0</v>
      </c>
      <c r="X48" s="47">
        <f t="shared" si="7"/>
        <v>0</v>
      </c>
      <c r="Y48" s="47">
        <f>+X48*1.03</f>
        <v>0</v>
      </c>
      <c r="Z48" s="43" t="s">
        <v>48</v>
      </c>
      <c r="AA48" s="3"/>
      <c r="AB48" s="3"/>
      <c r="AC48" s="3"/>
      <c r="AD48" s="3"/>
    </row>
    <row r="49" spans="1:55" ht="19.5" customHeight="1" x14ac:dyDescent="0.35">
      <c r="A49" s="31"/>
      <c r="B49" s="45"/>
      <c r="C49" s="60" t="s">
        <v>41</v>
      </c>
      <c r="D49" s="61">
        <f t="shared" ref="D49:J49" si="10">SUM(D34:D48)</f>
        <v>938046.31763659616</v>
      </c>
      <c r="E49" s="61">
        <f t="shared" si="10"/>
        <v>938046.31763659616</v>
      </c>
      <c r="F49" s="61">
        <f t="shared" si="10"/>
        <v>728762.56405800011</v>
      </c>
      <c r="G49" s="61">
        <f t="shared" si="10"/>
        <v>866234.98271851626</v>
      </c>
      <c r="H49" s="61">
        <f t="shared" si="10"/>
        <v>841234.98498138634</v>
      </c>
      <c r="I49" s="61">
        <f t="shared" si="10"/>
        <v>580894.03</v>
      </c>
      <c r="J49" s="61">
        <f t="shared" si="10"/>
        <v>260340.95498138649</v>
      </c>
      <c r="K49" s="62"/>
      <c r="L49" s="62">
        <f>SUM(L34:L48)</f>
        <v>892222.03220007184</v>
      </c>
      <c r="M49" s="62">
        <f>SUM(M34:M48)</f>
        <v>913449.03220007184</v>
      </c>
      <c r="N49" s="47"/>
      <c r="O49" s="62">
        <f t="shared" ref="O49:Y49" si="11">SUM(O34:O48)</f>
        <v>892222.03220007184</v>
      </c>
      <c r="P49" s="62">
        <f t="shared" si="11"/>
        <v>21227</v>
      </c>
      <c r="Q49" s="62">
        <f t="shared" si="11"/>
        <v>913449.03220007184</v>
      </c>
      <c r="R49" s="62">
        <f t="shared" si="11"/>
        <v>918988.69316607399</v>
      </c>
      <c r="S49" s="62"/>
      <c r="T49" s="62"/>
      <c r="U49" s="62">
        <f t="shared" si="11"/>
        <v>974823.62771995249</v>
      </c>
      <c r="V49" s="62"/>
      <c r="W49" s="62">
        <f t="shared" si="11"/>
        <v>1004068.336551551</v>
      </c>
      <c r="X49" s="62">
        <f t="shared" si="11"/>
        <v>1034190.3866480975</v>
      </c>
      <c r="Y49" s="62">
        <f t="shared" si="11"/>
        <v>1065216.0982475404</v>
      </c>
      <c r="Z49" s="32"/>
      <c r="AA49" s="3"/>
      <c r="AB49" s="3"/>
      <c r="AC49" s="69"/>
      <c r="AD49" s="3"/>
    </row>
    <row r="50" spans="1:55" ht="19.5" customHeight="1" x14ac:dyDescent="0.35">
      <c r="A50" s="31">
        <v>1330</v>
      </c>
      <c r="B50" s="45"/>
      <c r="C50" s="32" t="s">
        <v>49</v>
      </c>
      <c r="D50" s="72"/>
      <c r="E50" s="72"/>
      <c r="F50" s="32"/>
      <c r="G50" s="32"/>
      <c r="H50" s="32"/>
      <c r="I50" s="32"/>
      <c r="J50" s="41"/>
      <c r="K50" s="41"/>
      <c r="L50" s="41"/>
      <c r="M50" s="41"/>
      <c r="N50" s="47">
        <f t="shared" si="1"/>
        <v>0</v>
      </c>
      <c r="O50" s="41"/>
      <c r="P50" s="41"/>
      <c r="Q50" s="47"/>
      <c r="R50" s="41"/>
      <c r="S50" s="41"/>
      <c r="T50" s="41"/>
      <c r="U50" s="41"/>
      <c r="V50" s="41"/>
      <c r="W50" s="41"/>
      <c r="X50" s="41"/>
      <c r="Y50" s="41"/>
      <c r="Z50" s="32"/>
      <c r="AA50" s="3"/>
      <c r="AB50" s="3"/>
      <c r="AC50" s="69"/>
      <c r="AD50" s="3"/>
    </row>
    <row r="51" spans="1:55" s="74" customFormat="1" ht="19.5" customHeight="1" x14ac:dyDescent="0.35">
      <c r="A51" s="52">
        <v>1333</v>
      </c>
      <c r="B51" s="53"/>
      <c r="C51" s="32" t="s">
        <v>50</v>
      </c>
      <c r="D51" s="72">
        <f>345000-20000+23400</f>
        <v>348400</v>
      </c>
      <c r="E51" s="72">
        <f>345000-20000</f>
        <v>325000</v>
      </c>
      <c r="F51" s="72">
        <v>349423</v>
      </c>
      <c r="G51" s="72">
        <v>325000</v>
      </c>
      <c r="H51" s="72">
        <v>325000</v>
      </c>
      <c r="I51" s="72">
        <v>344615.18</v>
      </c>
      <c r="J51" s="47">
        <f>+H51-I51</f>
        <v>-19615.179999999993</v>
      </c>
      <c r="K51" s="47"/>
      <c r="L51" s="73">
        <v>325000</v>
      </c>
      <c r="M51" s="73">
        <v>325000</v>
      </c>
      <c r="N51" s="47">
        <f t="shared" si="1"/>
        <v>0</v>
      </c>
      <c r="O51" s="73">
        <v>325000</v>
      </c>
      <c r="P51" s="73"/>
      <c r="Q51" s="73">
        <v>325000</v>
      </c>
      <c r="R51" s="73">
        <v>325000</v>
      </c>
      <c r="S51" s="73"/>
      <c r="T51" s="73"/>
      <c r="U51" s="73">
        <v>355800</v>
      </c>
      <c r="V51" s="73"/>
      <c r="W51" s="73">
        <v>355800</v>
      </c>
      <c r="X51" s="73">
        <v>355800</v>
      </c>
      <c r="Y51" s="123">
        <v>355800</v>
      </c>
      <c r="Z51" s="43"/>
      <c r="AA51" s="2"/>
      <c r="AB51" s="2"/>
      <c r="AC51" s="2"/>
      <c r="AD51" s="2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</row>
    <row r="52" spans="1:55" s="74" customFormat="1" ht="19.5" customHeight="1" x14ac:dyDescent="0.35">
      <c r="A52" s="52">
        <v>1334</v>
      </c>
      <c r="B52" s="53"/>
      <c r="C52" s="32" t="s">
        <v>125</v>
      </c>
      <c r="D52" s="72">
        <f>345000-20000+10000+68736</f>
        <v>403736</v>
      </c>
      <c r="E52" s="72">
        <f>345000-20000+92000</f>
        <v>417000</v>
      </c>
      <c r="F52" s="72">
        <v>475358.38</v>
      </c>
      <c r="G52" s="72">
        <v>325000</v>
      </c>
      <c r="H52" s="72">
        <v>325000</v>
      </c>
      <c r="I52" s="72">
        <v>169240.46000000002</v>
      </c>
      <c r="J52" s="47">
        <f>+H52-I52</f>
        <v>155759.53999999998</v>
      </c>
      <c r="K52" s="47">
        <v>155760</v>
      </c>
      <c r="L52" s="73">
        <v>325000</v>
      </c>
      <c r="M52" s="73">
        <f>325000+155760</f>
        <v>480760</v>
      </c>
      <c r="N52" s="47">
        <f t="shared" si="1"/>
        <v>-155760</v>
      </c>
      <c r="O52" s="73">
        <v>325000</v>
      </c>
      <c r="P52" s="73">
        <v>155760</v>
      </c>
      <c r="Q52" s="73">
        <f>325000+155760+30800</f>
        <v>511560</v>
      </c>
      <c r="R52" s="73">
        <v>325000</v>
      </c>
      <c r="S52" s="73"/>
      <c r="T52" s="73"/>
      <c r="U52" s="73">
        <v>355800</v>
      </c>
      <c r="V52" s="73"/>
      <c r="W52" s="73">
        <v>355800</v>
      </c>
      <c r="X52" s="73">
        <v>355800</v>
      </c>
      <c r="Y52" s="123">
        <v>355800</v>
      </c>
      <c r="Z52" s="43"/>
      <c r="AA52" s="2"/>
      <c r="AB52" s="2"/>
      <c r="AC52" s="2"/>
      <c r="AD52" s="2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</row>
    <row r="53" spans="1:55" s="74" customFormat="1" ht="19.5" customHeight="1" x14ac:dyDescent="0.35">
      <c r="A53" s="52">
        <v>1336</v>
      </c>
      <c r="B53" s="53"/>
      <c r="C53" s="32" t="s">
        <v>50</v>
      </c>
      <c r="D53" s="72">
        <f>345000-20000+10000+68736</f>
        <v>403736</v>
      </c>
      <c r="E53" s="72">
        <f>345000-20000+92000</f>
        <v>417000</v>
      </c>
      <c r="F53" s="72">
        <v>475358.38</v>
      </c>
      <c r="G53" s="72">
        <v>325000</v>
      </c>
      <c r="H53" s="72">
        <v>325000</v>
      </c>
      <c r="I53" s="72">
        <v>169240.46000000002</v>
      </c>
      <c r="J53" s="47">
        <f>+H53-I53</f>
        <v>155759.53999999998</v>
      </c>
      <c r="K53" s="47">
        <v>155760</v>
      </c>
      <c r="L53" s="73">
        <v>325000</v>
      </c>
      <c r="M53" s="73">
        <f>325000+155760</f>
        <v>480760</v>
      </c>
      <c r="N53" s="47">
        <f t="shared" si="1"/>
        <v>-155760</v>
      </c>
      <c r="O53" s="24"/>
      <c r="P53" s="8"/>
      <c r="Q53" s="8"/>
      <c r="R53" s="73">
        <v>0</v>
      </c>
      <c r="S53" s="73"/>
      <c r="T53" s="73"/>
      <c r="U53" s="73"/>
      <c r="V53" s="73"/>
      <c r="W53" s="73"/>
      <c r="X53" s="73"/>
      <c r="Y53" s="123"/>
      <c r="Z53" s="43"/>
      <c r="AA53" s="2"/>
      <c r="AB53" s="2"/>
      <c r="AC53" s="2"/>
      <c r="AD53" s="2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</row>
    <row r="54" spans="1:55" ht="21.75" customHeight="1" x14ac:dyDescent="0.35">
      <c r="A54" s="31">
        <v>1335</v>
      </c>
      <c r="B54" s="45"/>
      <c r="C54" s="32" t="s">
        <v>51</v>
      </c>
      <c r="D54" s="72">
        <f>43782-12500</f>
        <v>31282</v>
      </c>
      <c r="E54" s="72">
        <f>43782-12500</f>
        <v>31282</v>
      </c>
      <c r="F54" s="72">
        <v>19617.349999999999</v>
      </c>
      <c r="G54" s="72">
        <f>43782-25000</f>
        <v>18782</v>
      </c>
      <c r="H54" s="72">
        <f>43782-25000</f>
        <v>18782</v>
      </c>
      <c r="I54" s="72">
        <v>11773.82</v>
      </c>
      <c r="J54" s="47">
        <f>+H54-I54</f>
        <v>7008.18</v>
      </c>
      <c r="K54" s="47"/>
      <c r="L54" s="72">
        <f>43782-25000</f>
        <v>18782</v>
      </c>
      <c r="M54" s="72">
        <f>43782-25000</f>
        <v>18782</v>
      </c>
      <c r="N54" s="47">
        <f t="shared" si="1"/>
        <v>0</v>
      </c>
      <c r="O54" s="72">
        <f>43782-25000</f>
        <v>18782</v>
      </c>
      <c r="P54" s="72"/>
      <c r="Q54" s="72">
        <f>43782-25000</f>
        <v>18782</v>
      </c>
      <c r="R54" s="72">
        <f>43782-25000</f>
        <v>18782</v>
      </c>
      <c r="S54" s="72"/>
      <c r="T54" s="72"/>
      <c r="U54" s="72">
        <f>9400*2</f>
        <v>18800</v>
      </c>
      <c r="V54" s="72"/>
      <c r="W54" s="72">
        <v>18800</v>
      </c>
      <c r="X54" s="72">
        <v>18800</v>
      </c>
      <c r="Y54" s="124">
        <v>18800</v>
      </c>
      <c r="Z54" s="43" t="s">
        <v>128</v>
      </c>
      <c r="AA54" s="2"/>
      <c r="AB54" s="2"/>
      <c r="AC54" s="2"/>
      <c r="AD54" s="2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</row>
    <row r="55" spans="1:55" ht="19.5" hidden="1" customHeight="1" x14ac:dyDescent="0.35">
      <c r="A55" s="31">
        <v>1335</v>
      </c>
      <c r="B55" s="45"/>
      <c r="C55" s="32" t="s">
        <v>52</v>
      </c>
      <c r="D55" s="75"/>
      <c r="E55" s="75"/>
      <c r="F55" s="72">
        <v>-413</v>
      </c>
      <c r="G55" s="72"/>
      <c r="H55" s="72"/>
      <c r="I55" s="72"/>
      <c r="J55" s="73"/>
      <c r="K55" s="73"/>
      <c r="L55" s="73"/>
      <c r="M55" s="73"/>
      <c r="N55" s="47">
        <f t="shared" si="1"/>
        <v>0</v>
      </c>
      <c r="P55" s="77"/>
      <c r="Q55" s="77"/>
      <c r="R55" s="73"/>
      <c r="S55" s="73"/>
      <c r="T55" s="73"/>
      <c r="U55" s="73"/>
      <c r="V55" s="73"/>
      <c r="W55" s="73"/>
      <c r="X55" s="73"/>
      <c r="Y55" s="123"/>
      <c r="Z55" s="32"/>
      <c r="AA55" s="2"/>
      <c r="AB55" s="2"/>
      <c r="AC55" s="2"/>
      <c r="AD55" s="2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</row>
    <row r="56" spans="1:55" ht="19.5" customHeight="1" x14ac:dyDescent="0.35">
      <c r="A56" s="31"/>
      <c r="B56" s="45"/>
      <c r="C56" s="60" t="s">
        <v>41</v>
      </c>
      <c r="D56" s="67">
        <f t="shared" ref="D56:J56" si="12">SUM(D51:D55)</f>
        <v>1187154</v>
      </c>
      <c r="E56" s="67">
        <f t="shared" si="12"/>
        <v>1190282</v>
      </c>
      <c r="F56" s="67">
        <f t="shared" si="12"/>
        <v>1319344.1100000001</v>
      </c>
      <c r="G56" s="67">
        <f t="shared" si="12"/>
        <v>993782</v>
      </c>
      <c r="H56" s="67">
        <f t="shared" si="12"/>
        <v>993782</v>
      </c>
      <c r="I56" s="67">
        <f t="shared" si="12"/>
        <v>694869.92</v>
      </c>
      <c r="J56" s="67">
        <f t="shared" si="12"/>
        <v>298912.07999999996</v>
      </c>
      <c r="K56" s="78"/>
      <c r="L56" s="78">
        <f>SUM(L51:L55)</f>
        <v>993782</v>
      </c>
      <c r="M56" s="78">
        <f>SUM(M51:M55)</f>
        <v>1305302</v>
      </c>
      <c r="N56" s="47"/>
      <c r="O56" s="78">
        <f>SUM(O51:O54)</f>
        <v>668782</v>
      </c>
      <c r="P56" s="78">
        <f>SUM(P51:P54)</f>
        <v>155760</v>
      </c>
      <c r="Q56" s="78">
        <f>SUM(Q51:Q54)</f>
        <v>855342</v>
      </c>
      <c r="R56" s="78">
        <f>SUM(R51:R55)</f>
        <v>668782</v>
      </c>
      <c r="S56" s="78"/>
      <c r="T56" s="78"/>
      <c r="U56" s="78">
        <f>SUM(U51:U55)</f>
        <v>730400</v>
      </c>
      <c r="V56" s="78"/>
      <c r="W56" s="78">
        <f>SUM(W51:W55)</f>
        <v>730400</v>
      </c>
      <c r="X56" s="78">
        <f>SUM(X51:X55)</f>
        <v>730400</v>
      </c>
      <c r="Y56" s="125">
        <f>SUM(Y51:Y55)</f>
        <v>730400</v>
      </c>
      <c r="Z56" s="32"/>
      <c r="AA56" s="3"/>
      <c r="AB56" s="3"/>
      <c r="AC56" s="3"/>
      <c r="AD56" s="3"/>
    </row>
    <row r="57" spans="1:55" ht="19.5" customHeight="1" x14ac:dyDescent="0.35">
      <c r="A57" s="58">
        <v>1399</v>
      </c>
      <c r="B57" s="59"/>
      <c r="C57" s="60" t="s">
        <v>53</v>
      </c>
      <c r="D57" s="79">
        <f t="shared" ref="D57:X57" si="13">+D56+D49</f>
        <v>2125200.317636596</v>
      </c>
      <c r="E57" s="79">
        <f t="shared" si="13"/>
        <v>2128328.317636596</v>
      </c>
      <c r="F57" s="79">
        <f t="shared" si="13"/>
        <v>2048106.6740580001</v>
      </c>
      <c r="G57" s="79">
        <f t="shared" si="13"/>
        <v>1860016.9827185161</v>
      </c>
      <c r="H57" s="79">
        <f t="shared" si="13"/>
        <v>1835016.9849813865</v>
      </c>
      <c r="I57" s="79">
        <f t="shared" si="13"/>
        <v>1275763.9500000002</v>
      </c>
      <c r="J57" s="79">
        <f t="shared" si="13"/>
        <v>559253.0349813865</v>
      </c>
      <c r="K57" s="80"/>
      <c r="L57" s="80">
        <f t="shared" si="13"/>
        <v>1886004.032200072</v>
      </c>
      <c r="M57" s="80">
        <f t="shared" si="13"/>
        <v>2218751.032200072</v>
      </c>
      <c r="N57" s="47"/>
      <c r="O57" s="80">
        <f>+O56+O49</f>
        <v>1561004.032200072</v>
      </c>
      <c r="P57" s="80">
        <f>+P56+P49</f>
        <v>176987</v>
      </c>
      <c r="Q57" s="80">
        <f>+Q56+Q49</f>
        <v>1768791.032200072</v>
      </c>
      <c r="R57" s="80">
        <f t="shared" si="13"/>
        <v>1587770.6931660739</v>
      </c>
      <c r="S57" s="80"/>
      <c r="T57" s="80"/>
      <c r="U57" s="80">
        <f t="shared" si="13"/>
        <v>1705223.6277199525</v>
      </c>
      <c r="V57" s="80"/>
      <c r="W57" s="80">
        <f t="shared" si="13"/>
        <v>1734468.336551551</v>
      </c>
      <c r="X57" s="80">
        <f t="shared" si="13"/>
        <v>1764590.3866480975</v>
      </c>
      <c r="Y57" s="126">
        <f>+Y56+Y49</f>
        <v>1795616.0982475404</v>
      </c>
      <c r="Z57" s="32"/>
      <c r="AA57" s="3"/>
      <c r="AB57" s="93"/>
      <c r="AC57" s="93"/>
      <c r="AD57" s="3"/>
    </row>
    <row r="58" spans="1:55" ht="19.5" customHeight="1" x14ac:dyDescent="0.35">
      <c r="A58" s="154" t="s">
        <v>130</v>
      </c>
      <c r="B58" s="148"/>
      <c r="C58" s="149"/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1"/>
      <c r="O58" s="150"/>
      <c r="P58" s="150"/>
      <c r="Q58" s="150"/>
      <c r="R58" s="150"/>
      <c r="S58" s="150"/>
      <c r="T58" s="150"/>
      <c r="U58" s="150"/>
      <c r="V58" s="150"/>
      <c r="W58" s="150"/>
      <c r="X58" s="150"/>
      <c r="Y58" s="152"/>
      <c r="Z58" s="153"/>
      <c r="AA58" s="3"/>
      <c r="AB58" s="93"/>
      <c r="AC58" s="93"/>
      <c r="AD58" s="3"/>
    </row>
    <row r="59" spans="1:55" s="82" customFormat="1" ht="23.4" customHeight="1" x14ac:dyDescent="0.3">
      <c r="A59" s="168" t="s">
        <v>124</v>
      </c>
      <c r="B59" s="169"/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81"/>
      <c r="AB59" s="81"/>
      <c r="AC59" s="81"/>
      <c r="AD59" s="81"/>
    </row>
    <row r="60" spans="1:55" s="82" customFormat="1" ht="19.5" customHeight="1" x14ac:dyDescent="0.3">
      <c r="A60" s="170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0"/>
      <c r="R60" s="170"/>
      <c r="S60" s="170"/>
      <c r="T60" s="170"/>
      <c r="U60" s="170"/>
      <c r="V60" s="170"/>
      <c r="W60" s="170"/>
      <c r="X60" s="170"/>
      <c r="Y60" s="170"/>
      <c r="Z60" s="170"/>
      <c r="AA60" s="81"/>
      <c r="AB60" s="81"/>
      <c r="AC60" s="81"/>
      <c r="AD60" s="81"/>
    </row>
    <row r="61" spans="1:55" s="82" customFormat="1" ht="19.5" customHeight="1" x14ac:dyDescent="0.3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81"/>
      <c r="AB61" s="81"/>
      <c r="AC61" s="81"/>
      <c r="AD61" s="81"/>
    </row>
    <row r="62" spans="1:55" ht="19.5" customHeight="1" x14ac:dyDescent="0.35">
      <c r="A62" s="165" t="s">
        <v>118</v>
      </c>
      <c r="B62" s="165"/>
      <c r="C62" s="165"/>
      <c r="D62" s="83"/>
      <c r="E62" s="83"/>
      <c r="F62" s="83"/>
      <c r="G62" s="83"/>
      <c r="H62" s="83"/>
      <c r="I62" s="83"/>
      <c r="J62" s="83"/>
      <c r="K62" s="83"/>
      <c r="L62" s="83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B62" s="3"/>
      <c r="AC62" s="3"/>
      <c r="AD62" s="3"/>
    </row>
    <row r="63" spans="1:55" ht="19.5" customHeight="1" x14ac:dyDescent="0.35">
      <c r="A63" s="167" t="s">
        <v>119</v>
      </c>
      <c r="B63" s="167"/>
      <c r="C63" s="167"/>
      <c r="D63" s="84"/>
      <c r="E63" s="84"/>
      <c r="F63" s="83"/>
      <c r="G63" s="83"/>
      <c r="H63" s="83"/>
      <c r="I63" s="83"/>
      <c r="J63" s="83"/>
      <c r="K63" s="83"/>
      <c r="AB63" s="3"/>
      <c r="AC63" s="3"/>
      <c r="AD63" s="3"/>
    </row>
    <row r="64" spans="1:55" ht="22.5" customHeight="1" x14ac:dyDescent="0.35">
      <c r="A64" s="162" t="s">
        <v>54</v>
      </c>
      <c r="B64" s="162"/>
      <c r="C64" s="85"/>
      <c r="D64" s="86"/>
      <c r="E64" s="86"/>
      <c r="F64" s="83"/>
      <c r="G64" s="83"/>
      <c r="H64" s="83"/>
      <c r="I64" s="83"/>
      <c r="J64" s="83"/>
      <c r="K64" s="83"/>
      <c r="AB64" s="3"/>
      <c r="AC64" s="3"/>
      <c r="AD64" s="3"/>
    </row>
    <row r="65" spans="1:30" ht="8.25" customHeight="1" x14ac:dyDescent="0.35">
      <c r="A65" s="87"/>
      <c r="B65" s="87"/>
      <c r="C65" s="85"/>
      <c r="D65" s="86"/>
      <c r="E65" s="86"/>
      <c r="F65" s="83"/>
      <c r="G65" s="83"/>
      <c r="H65" s="83"/>
      <c r="I65" s="83"/>
      <c r="J65" s="83"/>
      <c r="K65" s="83"/>
      <c r="AB65" s="3"/>
      <c r="AC65" s="3"/>
      <c r="AD65" s="3"/>
    </row>
    <row r="66" spans="1:30" ht="21" customHeight="1" x14ac:dyDescent="0.35">
      <c r="A66" s="31"/>
      <c r="B66" s="32"/>
      <c r="C66" s="32"/>
      <c r="D66" s="33" t="s">
        <v>8</v>
      </c>
      <c r="E66" s="33" t="s">
        <v>9</v>
      </c>
      <c r="F66" s="33" t="s">
        <v>10</v>
      </c>
      <c r="G66" s="33" t="s">
        <v>8</v>
      </c>
      <c r="H66" s="33" t="s">
        <v>8</v>
      </c>
      <c r="I66" s="33" t="s">
        <v>10</v>
      </c>
      <c r="J66" s="34" t="s">
        <v>11</v>
      </c>
      <c r="K66" s="34"/>
      <c r="L66" s="34" t="s">
        <v>8</v>
      </c>
      <c r="M66" s="34" t="s">
        <v>9</v>
      </c>
      <c r="N66" s="35"/>
      <c r="O66" s="34" t="s">
        <v>8</v>
      </c>
      <c r="P66" s="34"/>
      <c r="Q66" s="34" t="s">
        <v>9</v>
      </c>
      <c r="R66" s="34" t="s">
        <v>13</v>
      </c>
      <c r="S66" s="33"/>
      <c r="T66" s="34"/>
      <c r="U66" s="146" t="s">
        <v>8</v>
      </c>
      <c r="V66" s="146"/>
      <c r="W66" s="146" t="s">
        <v>8</v>
      </c>
      <c r="X66" s="146" t="s">
        <v>8</v>
      </c>
      <c r="Y66" s="146" t="s">
        <v>110</v>
      </c>
      <c r="Z66" s="147" t="s">
        <v>14</v>
      </c>
      <c r="AA66" s="3"/>
      <c r="AB66" s="3"/>
      <c r="AC66" s="3"/>
      <c r="AD66" s="3"/>
    </row>
    <row r="67" spans="1:30" ht="19.5" customHeight="1" x14ac:dyDescent="0.35">
      <c r="A67" s="31"/>
      <c r="B67" s="32"/>
      <c r="C67" s="32"/>
      <c r="D67" s="33">
        <v>2014</v>
      </c>
      <c r="E67" s="33">
        <v>2014</v>
      </c>
      <c r="F67" s="33">
        <v>2014</v>
      </c>
      <c r="G67" s="33">
        <v>2015</v>
      </c>
      <c r="H67" s="33">
        <v>2015</v>
      </c>
      <c r="I67" s="33">
        <v>2015</v>
      </c>
      <c r="J67" s="34">
        <v>2015</v>
      </c>
      <c r="K67" s="34"/>
      <c r="L67" s="34">
        <v>2016</v>
      </c>
      <c r="M67" s="34">
        <v>2016</v>
      </c>
      <c r="N67" s="35"/>
      <c r="O67" s="34">
        <v>2016</v>
      </c>
      <c r="P67" s="34"/>
      <c r="Q67" s="34">
        <v>2016</v>
      </c>
      <c r="R67" s="34">
        <v>2017</v>
      </c>
      <c r="S67" s="34"/>
      <c r="T67" s="34"/>
      <c r="U67" s="34">
        <v>2019</v>
      </c>
      <c r="V67" s="34"/>
      <c r="W67" s="34">
        <v>2020</v>
      </c>
      <c r="X67" s="34">
        <v>2021</v>
      </c>
      <c r="Y67" s="34">
        <v>2022</v>
      </c>
      <c r="Z67" s="43"/>
      <c r="AA67" s="3"/>
      <c r="AB67" s="3"/>
      <c r="AC67" s="3"/>
      <c r="AD67" s="3"/>
    </row>
    <row r="68" spans="1:30" ht="19.5" customHeight="1" x14ac:dyDescent="0.35">
      <c r="A68" s="31">
        <v>1600</v>
      </c>
      <c r="B68" s="45" t="s">
        <v>55</v>
      </c>
      <c r="C68" s="32"/>
      <c r="D68" s="32"/>
      <c r="E68" s="32"/>
      <c r="F68" s="32"/>
      <c r="G68" s="32"/>
      <c r="H68" s="32"/>
      <c r="I68" s="32"/>
      <c r="J68" s="41"/>
      <c r="K68" s="41"/>
      <c r="L68" s="41"/>
      <c r="M68" s="41"/>
      <c r="N68" s="42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3"/>
      <c r="AA68" s="3"/>
      <c r="AB68" s="3"/>
      <c r="AC68" s="3"/>
      <c r="AD68" s="3"/>
    </row>
    <row r="69" spans="1:30" ht="21" customHeight="1" x14ac:dyDescent="0.35">
      <c r="A69" s="31"/>
      <c r="B69" s="45" t="s">
        <v>16</v>
      </c>
      <c r="C69" s="32" t="s">
        <v>56</v>
      </c>
      <c r="D69" s="75">
        <f>208000-68736-1614</f>
        <v>137650</v>
      </c>
      <c r="E69" s="75">
        <v>208000</v>
      </c>
      <c r="F69" s="75">
        <v>160940</v>
      </c>
      <c r="G69" s="75">
        <v>208000</v>
      </c>
      <c r="H69" s="75">
        <v>208000</v>
      </c>
      <c r="I69" s="75">
        <v>166142.12000000002</v>
      </c>
      <c r="J69" s="47">
        <f>+H69-I69</f>
        <v>41857.879999999976</v>
      </c>
      <c r="K69" s="47"/>
      <c r="L69" s="88">
        <v>208000</v>
      </c>
      <c r="M69" s="88">
        <v>208000</v>
      </c>
      <c r="N69" s="48">
        <f t="shared" ref="N69:N119" si="14">+L69-M69</f>
        <v>0</v>
      </c>
      <c r="O69" s="88">
        <v>208000</v>
      </c>
      <c r="P69" s="88"/>
      <c r="Q69" s="88">
        <v>208000</v>
      </c>
      <c r="R69" s="88">
        <v>208000</v>
      </c>
      <c r="S69" s="88"/>
      <c r="T69" s="88"/>
      <c r="U69" s="88">
        <v>208000</v>
      </c>
      <c r="V69" s="88"/>
      <c r="W69" s="88">
        <v>208000</v>
      </c>
      <c r="X69" s="88">
        <v>208000</v>
      </c>
      <c r="Y69" s="127">
        <v>208000</v>
      </c>
      <c r="Z69" s="43" t="s">
        <v>112</v>
      </c>
      <c r="AA69" s="3"/>
      <c r="AB69" s="3"/>
      <c r="AC69" s="3"/>
      <c r="AD69" s="3"/>
    </row>
    <row r="70" spans="1:30" ht="22.5" customHeight="1" x14ac:dyDescent="0.35">
      <c r="A70" s="31"/>
      <c r="B70" s="45" t="s">
        <v>18</v>
      </c>
      <c r="C70" s="32" t="s">
        <v>57</v>
      </c>
      <c r="D70" s="75">
        <f>20000+30000</f>
        <v>50000</v>
      </c>
      <c r="E70" s="75">
        <f>20000+30000</f>
        <v>50000</v>
      </c>
      <c r="F70" s="75">
        <v>32642</v>
      </c>
      <c r="G70" s="75">
        <v>50000</v>
      </c>
      <c r="H70" s="75">
        <v>50000</v>
      </c>
      <c r="I70" s="75">
        <v>14031.97</v>
      </c>
      <c r="J70" s="47">
        <f>+H70-I70</f>
        <v>35968.03</v>
      </c>
      <c r="K70" s="47"/>
      <c r="L70" s="88">
        <v>50000</v>
      </c>
      <c r="M70" s="88">
        <v>50000</v>
      </c>
      <c r="N70" s="48">
        <f t="shared" si="14"/>
        <v>0</v>
      </c>
      <c r="O70" s="88">
        <v>50000</v>
      </c>
      <c r="P70" s="88"/>
      <c r="Q70" s="88">
        <v>50000</v>
      </c>
      <c r="R70" s="88">
        <v>50000</v>
      </c>
      <c r="S70" s="88"/>
      <c r="T70" s="88"/>
      <c r="U70" s="88">
        <v>50000</v>
      </c>
      <c r="V70" s="88"/>
      <c r="W70" s="88">
        <v>50000</v>
      </c>
      <c r="X70" s="88">
        <v>50000</v>
      </c>
      <c r="Y70" s="127">
        <v>50000</v>
      </c>
      <c r="Z70" s="40" t="s">
        <v>58</v>
      </c>
      <c r="AA70" s="3"/>
      <c r="AB70" s="3"/>
      <c r="AC70" s="3"/>
      <c r="AD70" s="3"/>
    </row>
    <row r="71" spans="1:30" ht="19.5" customHeight="1" x14ac:dyDescent="0.35">
      <c r="A71" s="89" t="s">
        <v>59</v>
      </c>
      <c r="B71" s="59"/>
      <c r="C71" s="60" t="s">
        <v>41</v>
      </c>
      <c r="D71" s="67">
        <f t="shared" ref="D71:M71" si="15">+D69+D70</f>
        <v>187650</v>
      </c>
      <c r="E71" s="67">
        <f t="shared" si="15"/>
        <v>258000</v>
      </c>
      <c r="F71" s="67">
        <f t="shared" si="15"/>
        <v>193582</v>
      </c>
      <c r="G71" s="67">
        <f t="shared" si="15"/>
        <v>258000</v>
      </c>
      <c r="H71" s="67">
        <f t="shared" si="15"/>
        <v>258000</v>
      </c>
      <c r="I71" s="67">
        <f t="shared" si="15"/>
        <v>180174.09000000003</v>
      </c>
      <c r="J71" s="67">
        <f t="shared" si="15"/>
        <v>77825.909999999974</v>
      </c>
      <c r="K71" s="78"/>
      <c r="L71" s="78">
        <f>+L69+L70</f>
        <v>258000</v>
      </c>
      <c r="M71" s="78">
        <f t="shared" si="15"/>
        <v>258000</v>
      </c>
      <c r="N71" s="48">
        <f t="shared" si="14"/>
        <v>0</v>
      </c>
      <c r="O71" s="78">
        <f t="shared" ref="O71:X71" si="16">+O69+O70</f>
        <v>258000</v>
      </c>
      <c r="P71" s="78">
        <f t="shared" si="16"/>
        <v>0</v>
      </c>
      <c r="Q71" s="78">
        <f t="shared" si="16"/>
        <v>258000</v>
      </c>
      <c r="R71" s="78">
        <f t="shared" si="16"/>
        <v>258000</v>
      </c>
      <c r="S71" s="78"/>
      <c r="T71" s="78"/>
      <c r="U71" s="78">
        <f t="shared" si="16"/>
        <v>258000</v>
      </c>
      <c r="V71" s="78"/>
      <c r="W71" s="78">
        <f t="shared" si="16"/>
        <v>258000</v>
      </c>
      <c r="X71" s="78">
        <f t="shared" si="16"/>
        <v>258000</v>
      </c>
      <c r="Y71" s="125">
        <f>+Y69+Y70</f>
        <v>258000</v>
      </c>
      <c r="Z71" s="43"/>
      <c r="AA71" s="3"/>
      <c r="AB71" s="3"/>
      <c r="AC71" s="3"/>
      <c r="AD71" s="3"/>
    </row>
    <row r="72" spans="1:30" ht="19.5" customHeight="1" x14ac:dyDescent="0.35">
      <c r="A72" s="58">
        <v>1999</v>
      </c>
      <c r="B72" s="59"/>
      <c r="C72" s="60" t="s">
        <v>60</v>
      </c>
      <c r="D72" s="67" t="e">
        <f t="shared" ref="D72:J72" si="17">+D71+D57+D32+D29</f>
        <v>#REF!</v>
      </c>
      <c r="E72" s="67" t="e">
        <f t="shared" si="17"/>
        <v>#REF!</v>
      </c>
      <c r="F72" s="67">
        <f t="shared" si="17"/>
        <v>4420525.2447800003</v>
      </c>
      <c r="G72" s="67">
        <f t="shared" si="17"/>
        <v>5173275.8362631639</v>
      </c>
      <c r="H72" s="67">
        <f t="shared" si="17"/>
        <v>5173275.8385260347</v>
      </c>
      <c r="I72" s="67">
        <f t="shared" si="17"/>
        <v>3551115.14</v>
      </c>
      <c r="J72" s="67">
        <f t="shared" si="17"/>
        <v>1622160.6985260341</v>
      </c>
      <c r="K72" s="78">
        <f>SUM(K13:K71)</f>
        <v>481984.28</v>
      </c>
      <c r="L72" s="78">
        <f>+L71+L57+L32+L29</f>
        <v>5288670.6513510589</v>
      </c>
      <c r="M72" s="78">
        <f>+M71+M57+M32+M29</f>
        <v>5770654.6513510589</v>
      </c>
      <c r="N72" s="78">
        <f>+L72-M72</f>
        <v>-481984</v>
      </c>
      <c r="O72" s="78">
        <f>+O71+O57+O32+O29</f>
        <v>4963670.6513510589</v>
      </c>
      <c r="P72" s="78">
        <f>+P71+P57+P32+P29</f>
        <v>326224</v>
      </c>
      <c r="Q72" s="78">
        <f>+Q71+Q57+Q32+Q29</f>
        <v>5320694.6513510589</v>
      </c>
      <c r="R72" s="78">
        <f>+R71+R57+R32+R29</f>
        <v>5077289.0687400158</v>
      </c>
      <c r="S72" s="78"/>
      <c r="T72" s="78"/>
      <c r="U72" s="78">
        <f>+U71+U57+U32+U29</f>
        <v>5403456.043279456</v>
      </c>
      <c r="V72" s="78"/>
      <c r="W72" s="78">
        <f>+W71+W57+W32+W29</f>
        <v>5533657.7198398411</v>
      </c>
      <c r="X72" s="78">
        <f>+X71+X57+X32+X29</f>
        <v>5667765.4514350351</v>
      </c>
      <c r="Y72" s="125">
        <f>+Y71+Y57+Y32+Y29</f>
        <v>5805896.414978086</v>
      </c>
      <c r="Z72" s="43"/>
      <c r="AA72" s="3"/>
      <c r="AB72" s="3"/>
      <c r="AC72" s="3"/>
      <c r="AD72" s="3"/>
    </row>
    <row r="73" spans="1:30" ht="19.5" customHeight="1" x14ac:dyDescent="0.35">
      <c r="A73" s="31">
        <v>20</v>
      </c>
      <c r="B73" s="32" t="s">
        <v>61</v>
      </c>
      <c r="C73" s="32"/>
      <c r="D73" s="75"/>
      <c r="E73" s="75"/>
      <c r="F73" s="75"/>
      <c r="G73" s="75"/>
      <c r="H73" s="75"/>
      <c r="I73" s="75"/>
      <c r="J73" s="88"/>
      <c r="K73" s="88"/>
      <c r="L73" s="88"/>
      <c r="M73" s="88"/>
      <c r="N73" s="4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127"/>
      <c r="Z73" s="43"/>
      <c r="AA73" s="3"/>
      <c r="AB73" s="3"/>
      <c r="AC73" s="3"/>
      <c r="AD73" s="3"/>
    </row>
    <row r="74" spans="1:30" ht="19.2" customHeight="1" x14ac:dyDescent="0.35">
      <c r="A74" s="31">
        <v>2100</v>
      </c>
      <c r="B74" s="32" t="s">
        <v>62</v>
      </c>
      <c r="C74" s="32"/>
      <c r="D74" s="75"/>
      <c r="E74" s="75"/>
      <c r="F74" s="75"/>
      <c r="G74" s="75"/>
      <c r="H74" s="75"/>
      <c r="I74" s="75"/>
      <c r="J74" s="88"/>
      <c r="K74" s="88"/>
      <c r="L74" s="88"/>
      <c r="M74" s="88"/>
      <c r="N74" s="48">
        <f t="shared" si="14"/>
        <v>0</v>
      </c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127"/>
      <c r="Z74" s="43"/>
      <c r="AA74" s="3"/>
      <c r="AB74" s="3"/>
      <c r="AC74" s="3"/>
      <c r="AD74" s="3"/>
    </row>
    <row r="75" spans="1:30" ht="42" customHeight="1" x14ac:dyDescent="0.35">
      <c r="A75" s="31"/>
      <c r="B75" s="45" t="s">
        <v>16</v>
      </c>
      <c r="C75" s="32" t="s">
        <v>63</v>
      </c>
      <c r="D75" s="75">
        <v>500000</v>
      </c>
      <c r="E75" s="75">
        <v>500000</v>
      </c>
      <c r="F75" s="75">
        <v>500000</v>
      </c>
      <c r="G75" s="75">
        <v>500000</v>
      </c>
      <c r="H75" s="75">
        <v>500000</v>
      </c>
      <c r="I75" s="75">
        <v>500000</v>
      </c>
      <c r="J75" s="47">
        <f>+H75-I75</f>
        <v>0</v>
      </c>
      <c r="K75" s="47"/>
      <c r="L75" s="88">
        <v>500000</v>
      </c>
      <c r="M75" s="88">
        <v>500000</v>
      </c>
      <c r="N75" s="48">
        <f t="shared" si="14"/>
        <v>0</v>
      </c>
      <c r="O75" s="88">
        <v>500000</v>
      </c>
      <c r="P75" s="88"/>
      <c r="Q75" s="88">
        <v>500000</v>
      </c>
      <c r="R75" s="88">
        <v>500000</v>
      </c>
      <c r="S75" s="88"/>
      <c r="T75" s="88"/>
      <c r="U75" s="88">
        <v>500000</v>
      </c>
      <c r="V75" s="88"/>
      <c r="W75" s="88">
        <v>500000</v>
      </c>
      <c r="X75" s="88">
        <v>500000</v>
      </c>
      <c r="Y75" s="127">
        <v>500000</v>
      </c>
      <c r="Z75" s="90" t="s">
        <v>64</v>
      </c>
      <c r="AA75" s="3"/>
      <c r="AB75" s="3"/>
      <c r="AC75" s="3"/>
      <c r="AD75" s="3"/>
    </row>
    <row r="76" spans="1:30" ht="18.600000000000001" customHeight="1" x14ac:dyDescent="0.35">
      <c r="A76" s="31"/>
      <c r="B76" s="45" t="s">
        <v>18</v>
      </c>
      <c r="C76" s="32" t="s">
        <v>65</v>
      </c>
      <c r="D76" s="75"/>
      <c r="E76" s="75"/>
      <c r="F76" s="75"/>
      <c r="G76" s="75"/>
      <c r="H76" s="75"/>
      <c r="I76" s="75"/>
      <c r="J76" s="88"/>
      <c r="K76" s="88"/>
      <c r="L76" s="88"/>
      <c r="M76" s="88"/>
      <c r="N76" s="48">
        <f t="shared" si="14"/>
        <v>0</v>
      </c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127"/>
      <c r="Z76" s="43"/>
      <c r="AA76" s="3"/>
      <c r="AB76" s="3"/>
      <c r="AC76" s="3"/>
      <c r="AD76" s="3"/>
    </row>
    <row r="77" spans="1:30" ht="19.5" customHeight="1" x14ac:dyDescent="0.35">
      <c r="A77" s="31">
        <v>2200</v>
      </c>
      <c r="B77" s="32" t="s">
        <v>66</v>
      </c>
      <c r="C77" s="32"/>
      <c r="D77" s="75"/>
      <c r="E77" s="75"/>
      <c r="F77" s="75"/>
      <c r="G77" s="75"/>
      <c r="H77" s="75"/>
      <c r="I77" s="75"/>
      <c r="J77" s="88"/>
      <c r="K77" s="88"/>
      <c r="L77" s="88"/>
      <c r="M77" s="88"/>
      <c r="N77" s="48">
        <f t="shared" si="14"/>
        <v>0</v>
      </c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127"/>
      <c r="Z77" s="43"/>
      <c r="AA77" s="3"/>
      <c r="AB77" s="3"/>
      <c r="AC77" s="3"/>
      <c r="AD77" s="3"/>
    </row>
    <row r="78" spans="1:30" ht="19.5" customHeight="1" x14ac:dyDescent="0.35">
      <c r="A78" s="31"/>
      <c r="B78" s="45" t="s">
        <v>16</v>
      </c>
      <c r="C78" s="32" t="s">
        <v>67</v>
      </c>
      <c r="D78" s="75"/>
      <c r="E78" s="75"/>
      <c r="F78" s="75"/>
      <c r="G78" s="75"/>
      <c r="H78" s="75"/>
      <c r="I78" s="75"/>
      <c r="J78" s="88"/>
      <c r="K78" s="88"/>
      <c r="L78" s="88"/>
      <c r="M78" s="88"/>
      <c r="N78" s="48">
        <f t="shared" si="14"/>
        <v>0</v>
      </c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127"/>
      <c r="Z78" s="43"/>
      <c r="AA78" s="3"/>
      <c r="AB78" s="3"/>
      <c r="AC78" s="3"/>
      <c r="AD78" s="3"/>
    </row>
    <row r="79" spans="1:30" ht="19.5" customHeight="1" x14ac:dyDescent="0.35">
      <c r="A79" s="31"/>
      <c r="B79" s="45" t="s">
        <v>18</v>
      </c>
      <c r="C79" s="32" t="s">
        <v>68</v>
      </c>
      <c r="D79" s="65"/>
      <c r="E79" s="65"/>
      <c r="F79" s="65">
        <v>0</v>
      </c>
      <c r="G79" s="65">
        <v>0</v>
      </c>
      <c r="H79" s="65">
        <v>0</v>
      </c>
      <c r="I79" s="65">
        <v>0</v>
      </c>
      <c r="J79" s="91"/>
      <c r="K79" s="91"/>
      <c r="L79" s="91">
        <v>0</v>
      </c>
      <c r="M79" s="91">
        <v>0</v>
      </c>
      <c r="N79" s="48">
        <f t="shared" si="14"/>
        <v>0</v>
      </c>
      <c r="O79" s="91">
        <v>0</v>
      </c>
      <c r="P79" s="91"/>
      <c r="Q79" s="91">
        <v>0</v>
      </c>
      <c r="R79" s="91">
        <v>0</v>
      </c>
      <c r="S79" s="91"/>
      <c r="T79" s="91"/>
      <c r="U79" s="91">
        <v>0</v>
      </c>
      <c r="V79" s="91"/>
      <c r="W79" s="91">
        <v>0</v>
      </c>
      <c r="X79" s="91">
        <v>0</v>
      </c>
      <c r="Y79" s="128">
        <v>0</v>
      </c>
      <c r="Z79" s="43"/>
      <c r="AA79" s="3"/>
      <c r="AB79" s="3"/>
      <c r="AC79" s="3"/>
      <c r="AD79" s="3"/>
    </row>
    <row r="80" spans="1:30" ht="19.5" customHeight="1" x14ac:dyDescent="0.35">
      <c r="A80" s="58">
        <v>2999</v>
      </c>
      <c r="B80" s="59"/>
      <c r="C80" s="60" t="s">
        <v>60</v>
      </c>
      <c r="D80" s="67">
        <f>D75+D79+D76</f>
        <v>500000</v>
      </c>
      <c r="E80" s="67">
        <f>E75+E79+E76</f>
        <v>500000</v>
      </c>
      <c r="F80" s="67">
        <f t="shared" ref="F80:X80" si="18">F75+F79</f>
        <v>500000</v>
      </c>
      <c r="G80" s="67">
        <f t="shared" si="18"/>
        <v>500000</v>
      </c>
      <c r="H80" s="67">
        <f t="shared" si="18"/>
        <v>500000</v>
      </c>
      <c r="I80" s="67">
        <f t="shared" si="18"/>
        <v>500000</v>
      </c>
      <c r="J80" s="67">
        <f t="shared" si="18"/>
        <v>0</v>
      </c>
      <c r="K80" s="78"/>
      <c r="L80" s="78">
        <f>L75+L79</f>
        <v>500000</v>
      </c>
      <c r="M80" s="78">
        <f t="shared" si="18"/>
        <v>500000</v>
      </c>
      <c r="N80" s="48">
        <f t="shared" si="14"/>
        <v>0</v>
      </c>
      <c r="O80" s="78">
        <f>O75+O79</f>
        <v>500000</v>
      </c>
      <c r="P80" s="78">
        <f>P75+P79</f>
        <v>0</v>
      </c>
      <c r="Q80" s="78">
        <f>Q75+Q79</f>
        <v>500000</v>
      </c>
      <c r="R80" s="78">
        <f>R75+R79</f>
        <v>500000</v>
      </c>
      <c r="S80" s="78"/>
      <c r="T80" s="78"/>
      <c r="U80" s="78">
        <f t="shared" si="18"/>
        <v>500000</v>
      </c>
      <c r="V80" s="78"/>
      <c r="W80" s="78">
        <f t="shared" si="18"/>
        <v>500000</v>
      </c>
      <c r="X80" s="78">
        <f t="shared" si="18"/>
        <v>500000</v>
      </c>
      <c r="Y80" s="125">
        <f>Y75+Y79</f>
        <v>500000</v>
      </c>
      <c r="Z80" s="43"/>
      <c r="AA80" s="3"/>
      <c r="AB80" s="3"/>
      <c r="AC80" s="3"/>
      <c r="AD80" s="3"/>
    </row>
    <row r="81" spans="1:30" ht="19.5" customHeight="1" x14ac:dyDescent="0.35">
      <c r="A81" s="31">
        <v>30</v>
      </c>
      <c r="B81" s="32" t="s">
        <v>69</v>
      </c>
      <c r="C81" s="32"/>
      <c r="D81" s="75"/>
      <c r="E81" s="75"/>
      <c r="F81" s="75"/>
      <c r="G81" s="75"/>
      <c r="H81" s="75"/>
      <c r="I81" s="75"/>
      <c r="J81" s="88"/>
      <c r="K81" s="88"/>
      <c r="L81" s="88"/>
      <c r="M81" s="88"/>
      <c r="N81" s="48">
        <f t="shared" si="14"/>
        <v>0</v>
      </c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127"/>
      <c r="Z81" s="43"/>
      <c r="AA81" s="3"/>
      <c r="AB81" s="3"/>
      <c r="AC81" s="3"/>
      <c r="AD81" s="3"/>
    </row>
    <row r="82" spans="1:30" ht="19.5" customHeight="1" x14ac:dyDescent="0.35">
      <c r="A82" s="31">
        <v>3300</v>
      </c>
      <c r="B82" s="32" t="s">
        <v>70</v>
      </c>
      <c r="C82" s="32"/>
      <c r="D82" s="75"/>
      <c r="E82" s="75"/>
      <c r="F82" s="75"/>
      <c r="G82" s="75"/>
      <c r="H82" s="75"/>
      <c r="I82" s="75"/>
      <c r="J82" s="88"/>
      <c r="K82" s="88"/>
      <c r="L82" s="88"/>
      <c r="M82" s="88"/>
      <c r="N82" s="48">
        <f t="shared" si="14"/>
        <v>0</v>
      </c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127"/>
      <c r="Z82" s="43"/>
      <c r="AA82" s="3"/>
      <c r="AB82" s="3"/>
      <c r="AC82" s="3"/>
      <c r="AD82" s="3"/>
    </row>
    <row r="83" spans="1:30" ht="41.25" customHeight="1" x14ac:dyDescent="0.35">
      <c r="A83" s="31"/>
      <c r="B83" s="45" t="s">
        <v>16</v>
      </c>
      <c r="C83" s="32" t="s">
        <v>71</v>
      </c>
      <c r="D83" s="75">
        <f>15000-15000</f>
        <v>0</v>
      </c>
      <c r="E83" s="75">
        <v>15000</v>
      </c>
      <c r="F83" s="75"/>
      <c r="G83" s="75">
        <v>15000</v>
      </c>
      <c r="H83" s="75">
        <v>15000</v>
      </c>
      <c r="I83" s="75">
        <v>0</v>
      </c>
      <c r="J83" s="47">
        <f>+H83-I83</f>
        <v>15000</v>
      </c>
      <c r="K83" s="47"/>
      <c r="L83" s="88">
        <v>15000</v>
      </c>
      <c r="M83" s="88">
        <v>15000</v>
      </c>
      <c r="N83" s="48">
        <f t="shared" si="14"/>
        <v>0</v>
      </c>
      <c r="O83" s="88">
        <v>15000</v>
      </c>
      <c r="P83" s="88"/>
      <c r="Q83" s="88">
        <v>15000</v>
      </c>
      <c r="R83" s="88">
        <v>15000</v>
      </c>
      <c r="S83" s="88"/>
      <c r="T83" s="88"/>
      <c r="U83" s="88">
        <v>15000</v>
      </c>
      <c r="V83" s="88"/>
      <c r="W83" s="88">
        <v>15000</v>
      </c>
      <c r="X83" s="88">
        <v>15000</v>
      </c>
      <c r="Y83" s="127">
        <v>15000</v>
      </c>
      <c r="Z83" s="90" t="s">
        <v>113</v>
      </c>
      <c r="AA83" s="3"/>
      <c r="AB83" s="3"/>
      <c r="AC83" s="3"/>
      <c r="AD83" s="3"/>
    </row>
    <row r="84" spans="1:30" ht="24" customHeight="1" x14ac:dyDescent="0.35">
      <c r="A84" s="31"/>
      <c r="B84" s="45" t="s">
        <v>18</v>
      </c>
      <c r="C84" s="32" t="s">
        <v>114</v>
      </c>
      <c r="D84" s="75">
        <f>225000/3*2+1614+15000</f>
        <v>166614</v>
      </c>
      <c r="E84" s="75">
        <f>225000/3*2</f>
        <v>150000</v>
      </c>
      <c r="F84" s="75">
        <v>153084</v>
      </c>
      <c r="G84" s="75">
        <v>150000</v>
      </c>
      <c r="H84" s="75">
        <v>150000</v>
      </c>
      <c r="I84" s="75">
        <v>72190.51999999999</v>
      </c>
      <c r="J84" s="47">
        <f>+H84-I84</f>
        <v>77809.48000000001</v>
      </c>
      <c r="K84" s="47">
        <v>77809</v>
      </c>
      <c r="L84" s="88">
        <v>150000</v>
      </c>
      <c r="M84" s="92">
        <f>150000+77809</f>
        <v>227809</v>
      </c>
      <c r="N84" s="48">
        <f t="shared" si="14"/>
        <v>-77809</v>
      </c>
      <c r="O84" s="88">
        <v>150000</v>
      </c>
      <c r="P84" s="88">
        <v>77809</v>
      </c>
      <c r="Q84" s="88">
        <f>+O84+P84</f>
        <v>227809</v>
      </c>
      <c r="R84" s="88">
        <v>150000</v>
      </c>
      <c r="S84" s="88"/>
      <c r="T84" s="88"/>
      <c r="U84" s="88">
        <f>225000/3*2</f>
        <v>150000</v>
      </c>
      <c r="V84" s="88"/>
      <c r="W84" s="88">
        <v>150000</v>
      </c>
      <c r="X84" s="88">
        <v>150000</v>
      </c>
      <c r="Y84" s="127">
        <v>150000</v>
      </c>
      <c r="Z84" s="43" t="s">
        <v>111</v>
      </c>
      <c r="AA84" s="3"/>
      <c r="AB84" s="3"/>
      <c r="AC84" s="3"/>
      <c r="AD84" s="3"/>
    </row>
    <row r="85" spans="1:30" ht="19.5" customHeight="1" x14ac:dyDescent="0.35">
      <c r="A85" s="58">
        <v>3999</v>
      </c>
      <c r="B85" s="59"/>
      <c r="C85" s="60" t="s">
        <v>60</v>
      </c>
      <c r="D85" s="67">
        <f t="shared" ref="D85:J85" si="19">SUM(D83:D84)</f>
        <v>166614</v>
      </c>
      <c r="E85" s="67">
        <f t="shared" si="19"/>
        <v>165000</v>
      </c>
      <c r="F85" s="67">
        <f t="shared" si="19"/>
        <v>153084</v>
      </c>
      <c r="G85" s="67">
        <f t="shared" si="19"/>
        <v>165000</v>
      </c>
      <c r="H85" s="67">
        <f t="shared" si="19"/>
        <v>165000</v>
      </c>
      <c r="I85" s="67">
        <f t="shared" si="19"/>
        <v>72190.51999999999</v>
      </c>
      <c r="J85" s="67">
        <f t="shared" si="19"/>
        <v>92809.48000000001</v>
      </c>
      <c r="K85" s="78"/>
      <c r="L85" s="78">
        <f>SUM(L83:L84)</f>
        <v>165000</v>
      </c>
      <c r="M85" s="78">
        <f>SUM(M83:M84)</f>
        <v>242809</v>
      </c>
      <c r="N85" s="48"/>
      <c r="O85" s="78">
        <f t="shared" ref="O85:X85" si="20">SUM(O83:O84)</f>
        <v>165000</v>
      </c>
      <c r="P85" s="78">
        <f t="shared" si="20"/>
        <v>77809</v>
      </c>
      <c r="Q85" s="78">
        <f t="shared" si="20"/>
        <v>242809</v>
      </c>
      <c r="R85" s="78">
        <f t="shared" si="20"/>
        <v>165000</v>
      </c>
      <c r="S85" s="78"/>
      <c r="T85" s="78"/>
      <c r="U85" s="78">
        <f t="shared" si="20"/>
        <v>165000</v>
      </c>
      <c r="V85" s="78"/>
      <c r="W85" s="78">
        <f t="shared" si="20"/>
        <v>165000</v>
      </c>
      <c r="X85" s="78">
        <f t="shared" si="20"/>
        <v>165000</v>
      </c>
      <c r="Y85" s="125">
        <f>SUM(Y83:Y84)</f>
        <v>165000</v>
      </c>
      <c r="Z85" s="43"/>
      <c r="AA85" s="3"/>
      <c r="AB85" s="3"/>
      <c r="AC85" s="3"/>
      <c r="AD85" s="3"/>
    </row>
    <row r="86" spans="1:30" ht="19.5" customHeight="1" x14ac:dyDescent="0.35">
      <c r="A86" s="31">
        <v>40</v>
      </c>
      <c r="B86" s="32" t="s">
        <v>72</v>
      </c>
      <c r="C86" s="32"/>
      <c r="D86" s="75"/>
      <c r="E86" s="75"/>
      <c r="F86" s="75"/>
      <c r="G86" s="75"/>
      <c r="H86" s="75"/>
      <c r="I86" s="75"/>
      <c r="J86" s="88"/>
      <c r="K86" s="88"/>
      <c r="L86" s="88"/>
      <c r="M86" s="88"/>
      <c r="N86" s="48">
        <f t="shared" si="14"/>
        <v>0</v>
      </c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127"/>
      <c r="Z86" s="43"/>
      <c r="AA86" s="3"/>
      <c r="AB86" s="3"/>
      <c r="AC86" s="3"/>
      <c r="AD86" s="3"/>
    </row>
    <row r="87" spans="1:30" ht="19.5" customHeight="1" x14ac:dyDescent="0.35">
      <c r="A87" s="31">
        <v>4100</v>
      </c>
      <c r="B87" s="32" t="s">
        <v>73</v>
      </c>
      <c r="C87" s="32"/>
      <c r="D87" s="75"/>
      <c r="E87" s="75"/>
      <c r="F87" s="75"/>
      <c r="G87" s="75"/>
      <c r="H87" s="75"/>
      <c r="I87" s="75"/>
      <c r="J87" s="88"/>
      <c r="K87" s="88"/>
      <c r="L87" s="88"/>
      <c r="M87" s="88"/>
      <c r="N87" s="48">
        <f t="shared" si="14"/>
        <v>0</v>
      </c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127"/>
      <c r="Z87" s="43"/>
      <c r="AA87" s="3"/>
      <c r="AB87" s="3"/>
      <c r="AC87" s="3"/>
      <c r="AD87" s="3"/>
    </row>
    <row r="88" spans="1:30" ht="24" customHeight="1" x14ac:dyDescent="0.35">
      <c r="A88" s="31"/>
      <c r="B88" s="45" t="s">
        <v>16</v>
      </c>
      <c r="C88" s="32" t="s">
        <v>74</v>
      </c>
      <c r="D88" s="75">
        <f>17550*0.7</f>
        <v>12285</v>
      </c>
      <c r="E88" s="75">
        <f>17550*0.7</f>
        <v>12285</v>
      </c>
      <c r="F88" s="75">
        <v>5040</v>
      </c>
      <c r="G88" s="75">
        <f>D88</f>
        <v>12285</v>
      </c>
      <c r="H88" s="75">
        <f>E88</f>
        <v>12285</v>
      </c>
      <c r="I88" s="75">
        <v>2459.71</v>
      </c>
      <c r="J88" s="47">
        <f>+H88-I88</f>
        <v>9825.2900000000009</v>
      </c>
      <c r="K88" s="47"/>
      <c r="L88" s="88">
        <v>12285</v>
      </c>
      <c r="M88" s="88">
        <f>+G88</f>
        <v>12285</v>
      </c>
      <c r="N88" s="48">
        <f t="shared" si="14"/>
        <v>0</v>
      </c>
      <c r="O88" s="88">
        <v>12285</v>
      </c>
      <c r="P88" s="88"/>
      <c r="Q88" s="88">
        <v>12285</v>
      </c>
      <c r="R88" s="88">
        <v>12285</v>
      </c>
      <c r="S88" s="88"/>
      <c r="T88" s="88"/>
      <c r="U88" s="88">
        <v>7000</v>
      </c>
      <c r="V88" s="88"/>
      <c r="W88" s="88">
        <f>+U88</f>
        <v>7000</v>
      </c>
      <c r="X88" s="88">
        <f>+W88</f>
        <v>7000</v>
      </c>
      <c r="Y88" s="127">
        <f>+X88</f>
        <v>7000</v>
      </c>
      <c r="Z88" s="43" t="s">
        <v>75</v>
      </c>
      <c r="AA88" s="3"/>
      <c r="AB88" s="93"/>
      <c r="AC88" s="93"/>
      <c r="AD88" s="3"/>
    </row>
    <row r="89" spans="1:30" ht="44.25" customHeight="1" x14ac:dyDescent="0.35">
      <c r="A89" s="31"/>
      <c r="B89" s="45" t="s">
        <v>18</v>
      </c>
      <c r="C89" s="43" t="s">
        <v>76</v>
      </c>
      <c r="D89" s="75">
        <f>10530</f>
        <v>10530</v>
      </c>
      <c r="E89" s="75">
        <f>10530</f>
        <v>10530</v>
      </c>
      <c r="F89" s="75">
        <v>2936</v>
      </c>
      <c r="G89" s="75">
        <f>+D89</f>
        <v>10530</v>
      </c>
      <c r="H89" s="75">
        <f>+E89</f>
        <v>10530</v>
      </c>
      <c r="I89" s="75">
        <v>4505.54</v>
      </c>
      <c r="J89" s="47">
        <f>+H89-I89</f>
        <v>6024.46</v>
      </c>
      <c r="K89" s="47"/>
      <c r="L89" s="88">
        <v>10530</v>
      </c>
      <c r="M89" s="88">
        <f>+G89</f>
        <v>10530</v>
      </c>
      <c r="N89" s="48">
        <f t="shared" si="14"/>
        <v>0</v>
      </c>
      <c r="O89" s="88">
        <v>10530</v>
      </c>
      <c r="P89" s="88"/>
      <c r="Q89" s="88">
        <v>10530</v>
      </c>
      <c r="R89" s="88">
        <v>10530</v>
      </c>
      <c r="S89" s="88"/>
      <c r="T89" s="88"/>
      <c r="U89" s="88">
        <v>10530</v>
      </c>
      <c r="V89" s="88"/>
      <c r="W89" s="88">
        <v>10530</v>
      </c>
      <c r="X89" s="88">
        <v>10530</v>
      </c>
      <c r="Y89" s="127">
        <v>10530</v>
      </c>
      <c r="Z89" s="40" t="s">
        <v>75</v>
      </c>
      <c r="AA89" s="3"/>
      <c r="AB89" s="3"/>
      <c r="AC89" s="3"/>
      <c r="AD89" s="3"/>
    </row>
    <row r="90" spans="1:30" s="95" customFormat="1" ht="19.5" customHeight="1" x14ac:dyDescent="0.3">
      <c r="A90" s="58">
        <v>4199</v>
      </c>
      <c r="B90" s="60"/>
      <c r="C90" s="59" t="s">
        <v>41</v>
      </c>
      <c r="D90" s="67">
        <f t="shared" ref="D90:J90" si="21">SUM(D88:D89)</f>
        <v>22815</v>
      </c>
      <c r="E90" s="67">
        <f t="shared" si="21"/>
        <v>22815</v>
      </c>
      <c r="F90" s="67">
        <f t="shared" si="21"/>
        <v>7976</v>
      </c>
      <c r="G90" s="67">
        <f t="shared" si="21"/>
        <v>22815</v>
      </c>
      <c r="H90" s="67">
        <f t="shared" si="21"/>
        <v>22815</v>
      </c>
      <c r="I90" s="67">
        <f t="shared" si="21"/>
        <v>6965.25</v>
      </c>
      <c r="J90" s="67">
        <f t="shared" si="21"/>
        <v>15849.75</v>
      </c>
      <c r="K90" s="78"/>
      <c r="L90" s="78">
        <f>SUM(L88:L89)</f>
        <v>22815</v>
      </c>
      <c r="M90" s="78">
        <f>SUM(M88:M89)</f>
        <v>22815</v>
      </c>
      <c r="N90" s="48">
        <f>+L90-M90</f>
        <v>0</v>
      </c>
      <c r="O90" s="78">
        <f t="shared" ref="O90:X90" si="22">SUM(O88:O89)</f>
        <v>22815</v>
      </c>
      <c r="P90" s="78">
        <f t="shared" si="22"/>
        <v>0</v>
      </c>
      <c r="Q90" s="78">
        <f t="shared" si="22"/>
        <v>22815</v>
      </c>
      <c r="R90" s="78">
        <f t="shared" si="22"/>
        <v>22815</v>
      </c>
      <c r="S90" s="78"/>
      <c r="T90" s="78"/>
      <c r="U90" s="78">
        <f t="shared" si="22"/>
        <v>17530</v>
      </c>
      <c r="V90" s="78"/>
      <c r="W90" s="78">
        <f t="shared" si="22"/>
        <v>17530</v>
      </c>
      <c r="X90" s="78">
        <f t="shared" si="22"/>
        <v>17530</v>
      </c>
      <c r="Y90" s="125">
        <f>SUM(Y88:Y89)</f>
        <v>17530</v>
      </c>
      <c r="Z90" s="118"/>
      <c r="AA90" s="94"/>
      <c r="AB90" s="94"/>
      <c r="AC90" s="94"/>
      <c r="AD90" s="94"/>
    </row>
    <row r="91" spans="1:30" ht="19.5" customHeight="1" x14ac:dyDescent="0.35">
      <c r="A91" s="31">
        <v>4200</v>
      </c>
      <c r="B91" s="32" t="s">
        <v>77</v>
      </c>
      <c r="C91" s="32"/>
      <c r="D91" s="75"/>
      <c r="E91" s="75"/>
      <c r="F91" s="75"/>
      <c r="G91" s="75"/>
      <c r="H91" s="75"/>
      <c r="I91" s="75"/>
      <c r="J91" s="88"/>
      <c r="K91" s="88"/>
      <c r="L91" s="88"/>
      <c r="M91" s="88"/>
      <c r="N91" s="48">
        <f t="shared" si="14"/>
        <v>0</v>
      </c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127"/>
      <c r="Z91" s="43"/>
      <c r="AA91" s="3"/>
      <c r="AB91" s="3"/>
      <c r="AC91" s="3"/>
      <c r="AD91" s="3"/>
    </row>
    <row r="92" spans="1:30" ht="19.5" customHeight="1" x14ac:dyDescent="0.35">
      <c r="A92" s="31"/>
      <c r="B92" s="45" t="s">
        <v>16</v>
      </c>
      <c r="C92" s="32" t="s">
        <v>78</v>
      </c>
      <c r="D92" s="75">
        <f>13000</f>
        <v>13000</v>
      </c>
      <c r="E92" s="75">
        <f>13000</f>
        <v>13000</v>
      </c>
      <c r="F92" s="75">
        <v>19779</v>
      </c>
      <c r="G92" s="75">
        <v>13000</v>
      </c>
      <c r="H92" s="75">
        <v>13000</v>
      </c>
      <c r="I92" s="75">
        <v>0</v>
      </c>
      <c r="J92" s="47">
        <f>+H92-I92</f>
        <v>13000</v>
      </c>
      <c r="K92" s="47"/>
      <c r="L92" s="88">
        <v>13000</v>
      </c>
      <c r="M92" s="88">
        <v>13000</v>
      </c>
      <c r="N92" s="48">
        <f t="shared" si="14"/>
        <v>0</v>
      </c>
      <c r="O92" s="88">
        <v>13000</v>
      </c>
      <c r="P92" s="88"/>
      <c r="Q92" s="88">
        <v>13000</v>
      </c>
      <c r="R92" s="88">
        <v>13000</v>
      </c>
      <c r="S92" s="88"/>
      <c r="T92" s="88"/>
      <c r="U92" s="88">
        <v>13000</v>
      </c>
      <c r="V92" s="88"/>
      <c r="W92" s="88">
        <v>13000</v>
      </c>
      <c r="X92" s="88">
        <v>13000</v>
      </c>
      <c r="Y92" s="127">
        <v>13000</v>
      </c>
      <c r="Z92" s="40" t="s">
        <v>75</v>
      </c>
      <c r="AA92" s="3"/>
      <c r="AB92" s="3"/>
      <c r="AC92" s="3"/>
      <c r="AD92" s="3"/>
    </row>
    <row r="93" spans="1:30" ht="18.600000000000001" customHeight="1" x14ac:dyDescent="0.35">
      <c r="A93" s="31"/>
      <c r="B93" s="45" t="s">
        <v>18</v>
      </c>
      <c r="C93" s="32" t="s">
        <v>79</v>
      </c>
      <c r="D93" s="75">
        <v>5850</v>
      </c>
      <c r="E93" s="75">
        <v>5850</v>
      </c>
      <c r="F93" s="75">
        <v>0</v>
      </c>
      <c r="G93" s="75">
        <v>5850</v>
      </c>
      <c r="H93" s="75">
        <v>5850</v>
      </c>
      <c r="I93" s="75">
        <v>973.5</v>
      </c>
      <c r="J93" s="47">
        <f>+H93-I93</f>
        <v>4876.5</v>
      </c>
      <c r="K93" s="47"/>
      <c r="L93" s="88">
        <v>5850</v>
      </c>
      <c r="M93" s="88">
        <v>5850</v>
      </c>
      <c r="N93" s="48">
        <f t="shared" si="14"/>
        <v>0</v>
      </c>
      <c r="O93" s="88">
        <v>5850</v>
      </c>
      <c r="P93" s="88"/>
      <c r="Q93" s="88">
        <v>5850</v>
      </c>
      <c r="R93" s="88">
        <v>5850</v>
      </c>
      <c r="S93" s="88"/>
      <c r="T93" s="88"/>
      <c r="U93" s="88">
        <v>5850</v>
      </c>
      <c r="V93" s="88"/>
      <c r="W93" s="88">
        <v>5850</v>
      </c>
      <c r="X93" s="88">
        <v>5850</v>
      </c>
      <c r="Y93" s="127">
        <v>5850</v>
      </c>
      <c r="Z93" s="90"/>
      <c r="AA93" s="3"/>
      <c r="AB93" s="3"/>
      <c r="AC93" s="3"/>
      <c r="AD93" s="3"/>
    </row>
    <row r="94" spans="1:30" s="95" customFormat="1" ht="19.5" customHeight="1" x14ac:dyDescent="0.3">
      <c r="A94" s="58">
        <v>4299</v>
      </c>
      <c r="B94" s="60"/>
      <c r="C94" s="59" t="s">
        <v>41</v>
      </c>
      <c r="D94" s="67">
        <f t="shared" ref="D94:M94" si="23">SUM(D92:D93)</f>
        <v>18850</v>
      </c>
      <c r="E94" s="67">
        <f t="shared" si="23"/>
        <v>18850</v>
      </c>
      <c r="F94" s="67">
        <f t="shared" si="23"/>
        <v>19779</v>
      </c>
      <c r="G94" s="67">
        <f t="shared" si="23"/>
        <v>18850</v>
      </c>
      <c r="H94" s="67">
        <f t="shared" si="23"/>
        <v>18850</v>
      </c>
      <c r="I94" s="67">
        <f t="shared" si="23"/>
        <v>973.5</v>
      </c>
      <c r="J94" s="67">
        <f t="shared" si="23"/>
        <v>17876.5</v>
      </c>
      <c r="K94" s="78"/>
      <c r="L94" s="78">
        <f>SUM(L92:L93)</f>
        <v>18850</v>
      </c>
      <c r="M94" s="78">
        <f t="shared" si="23"/>
        <v>18850</v>
      </c>
      <c r="N94" s="48">
        <f t="shared" si="14"/>
        <v>0</v>
      </c>
      <c r="O94" s="78">
        <f t="shared" ref="O94:X94" si="24">SUM(O92:O93)</f>
        <v>18850</v>
      </c>
      <c r="P94" s="78">
        <f t="shared" si="24"/>
        <v>0</v>
      </c>
      <c r="Q94" s="78">
        <f t="shared" si="24"/>
        <v>18850</v>
      </c>
      <c r="R94" s="78">
        <f t="shared" si="24"/>
        <v>18850</v>
      </c>
      <c r="S94" s="78"/>
      <c r="T94" s="78"/>
      <c r="U94" s="78">
        <f t="shared" si="24"/>
        <v>18850</v>
      </c>
      <c r="V94" s="78"/>
      <c r="W94" s="78">
        <f t="shared" si="24"/>
        <v>18850</v>
      </c>
      <c r="X94" s="78">
        <f t="shared" si="24"/>
        <v>18850</v>
      </c>
      <c r="Y94" s="125">
        <f>SUM(Y92:Y93)</f>
        <v>18850</v>
      </c>
      <c r="Z94" s="118"/>
      <c r="AA94" s="94"/>
      <c r="AB94" s="94"/>
      <c r="AC94" s="94"/>
      <c r="AD94" s="94"/>
    </row>
    <row r="95" spans="1:30" ht="19.5" customHeight="1" x14ac:dyDescent="0.35">
      <c r="A95" s="31">
        <v>4300</v>
      </c>
      <c r="B95" s="45" t="s">
        <v>80</v>
      </c>
      <c r="C95" s="32"/>
      <c r="D95" s="75"/>
      <c r="E95" s="75"/>
      <c r="F95" s="75"/>
      <c r="G95" s="75"/>
      <c r="H95" s="75"/>
      <c r="I95" s="75"/>
      <c r="J95" s="88"/>
      <c r="K95" s="88"/>
      <c r="L95" s="88"/>
      <c r="M95" s="88"/>
      <c r="N95" s="48">
        <f t="shared" si="14"/>
        <v>0</v>
      </c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127"/>
      <c r="Z95" s="43"/>
      <c r="AA95" s="3"/>
      <c r="AB95" s="3"/>
      <c r="AC95" s="3"/>
      <c r="AD95" s="3"/>
    </row>
    <row r="96" spans="1:30" ht="59.25" customHeight="1" x14ac:dyDescent="0.35">
      <c r="A96" s="31"/>
      <c r="B96" s="45" t="s">
        <v>16</v>
      </c>
      <c r="C96" s="32" t="s">
        <v>115</v>
      </c>
      <c r="D96" s="75">
        <v>870282</v>
      </c>
      <c r="E96" s="75">
        <v>870282</v>
      </c>
      <c r="F96" s="75">
        <v>745942</v>
      </c>
      <c r="G96" s="75">
        <v>870282</v>
      </c>
      <c r="H96" s="75">
        <v>870282</v>
      </c>
      <c r="I96" s="75">
        <v>830871.88</v>
      </c>
      <c r="J96" s="47">
        <f>+H96-I96</f>
        <v>39410.119999999995</v>
      </c>
      <c r="K96" s="47"/>
      <c r="L96" s="88">
        <v>870282</v>
      </c>
      <c r="M96" s="88">
        <v>870282</v>
      </c>
      <c r="N96" s="48">
        <f t="shared" si="14"/>
        <v>0</v>
      </c>
      <c r="O96" s="88">
        <v>870282</v>
      </c>
      <c r="P96" s="88"/>
      <c r="Q96" s="88">
        <v>870282</v>
      </c>
      <c r="R96" s="88">
        <v>870282</v>
      </c>
      <c r="S96" s="88"/>
      <c r="T96" s="88"/>
      <c r="U96" s="88">
        <v>870282</v>
      </c>
      <c r="V96" s="88"/>
      <c r="W96" s="88">
        <v>870282</v>
      </c>
      <c r="X96" s="88">
        <f>+W96</f>
        <v>870282</v>
      </c>
      <c r="Y96" s="127">
        <f>+X96</f>
        <v>870282</v>
      </c>
      <c r="Z96" s="40" t="s">
        <v>107</v>
      </c>
      <c r="AA96" s="3"/>
      <c r="AB96" s="3"/>
      <c r="AC96" s="3"/>
      <c r="AD96" s="3"/>
    </row>
    <row r="97" spans="1:30" ht="19.5" customHeight="1" x14ac:dyDescent="0.35">
      <c r="A97" s="31"/>
      <c r="B97" s="45"/>
      <c r="C97" s="59" t="s">
        <v>41</v>
      </c>
      <c r="D97" s="79">
        <f t="shared" ref="D97:M97" si="25">D96</f>
        <v>870282</v>
      </c>
      <c r="E97" s="79">
        <f t="shared" si="25"/>
        <v>870282</v>
      </c>
      <c r="F97" s="79">
        <f t="shared" si="25"/>
        <v>745942</v>
      </c>
      <c r="G97" s="79">
        <f t="shared" si="25"/>
        <v>870282</v>
      </c>
      <c r="H97" s="79">
        <f t="shared" si="25"/>
        <v>870282</v>
      </c>
      <c r="I97" s="79">
        <f t="shared" si="25"/>
        <v>830871.88</v>
      </c>
      <c r="J97" s="79">
        <f t="shared" si="25"/>
        <v>39410.119999999995</v>
      </c>
      <c r="K97" s="80"/>
      <c r="L97" s="80">
        <f>L96</f>
        <v>870282</v>
      </c>
      <c r="M97" s="80">
        <f t="shared" si="25"/>
        <v>870282</v>
      </c>
      <c r="N97" s="48">
        <f t="shared" si="14"/>
        <v>0</v>
      </c>
      <c r="O97" s="80">
        <f t="shared" ref="O97:X97" si="26">O96</f>
        <v>870282</v>
      </c>
      <c r="P97" s="80">
        <f t="shared" si="26"/>
        <v>0</v>
      </c>
      <c r="Q97" s="80">
        <f t="shared" si="26"/>
        <v>870282</v>
      </c>
      <c r="R97" s="80">
        <f t="shared" si="26"/>
        <v>870282</v>
      </c>
      <c r="S97" s="80"/>
      <c r="T97" s="80"/>
      <c r="U97" s="80">
        <f t="shared" si="26"/>
        <v>870282</v>
      </c>
      <c r="V97" s="80"/>
      <c r="W97" s="80">
        <f t="shared" si="26"/>
        <v>870282</v>
      </c>
      <c r="X97" s="80">
        <f t="shared" si="26"/>
        <v>870282</v>
      </c>
      <c r="Y97" s="126">
        <f>Y96</f>
        <v>870282</v>
      </c>
      <c r="Z97" s="43"/>
      <c r="AA97" s="3"/>
      <c r="AB97" s="3"/>
      <c r="AC97" s="3"/>
      <c r="AD97" s="3"/>
    </row>
    <row r="98" spans="1:30" ht="19.5" customHeight="1" x14ac:dyDescent="0.35">
      <c r="A98" s="58">
        <v>4999</v>
      </c>
      <c r="B98" s="60"/>
      <c r="C98" s="59" t="s">
        <v>60</v>
      </c>
      <c r="D98" s="67">
        <f t="shared" ref="D98:M98" si="27">+D97+D94+D90</f>
        <v>911947</v>
      </c>
      <c r="E98" s="67">
        <f t="shared" si="27"/>
        <v>911947</v>
      </c>
      <c r="F98" s="67">
        <f t="shared" si="27"/>
        <v>773697</v>
      </c>
      <c r="G98" s="67">
        <f t="shared" si="27"/>
        <v>911947</v>
      </c>
      <c r="H98" s="67">
        <f t="shared" si="27"/>
        <v>911947</v>
      </c>
      <c r="I98" s="67">
        <f t="shared" si="27"/>
        <v>838810.63</v>
      </c>
      <c r="J98" s="67">
        <f t="shared" si="27"/>
        <v>73136.37</v>
      </c>
      <c r="K98" s="78"/>
      <c r="L98" s="78">
        <f>+L97+L94+L90</f>
        <v>911947</v>
      </c>
      <c r="M98" s="78">
        <f t="shared" si="27"/>
        <v>911947</v>
      </c>
      <c r="N98" s="48">
        <f t="shared" si="14"/>
        <v>0</v>
      </c>
      <c r="O98" s="78">
        <f t="shared" ref="O98:X98" si="28">+O97+O94+O90</f>
        <v>911947</v>
      </c>
      <c r="P98" s="78">
        <f t="shared" si="28"/>
        <v>0</v>
      </c>
      <c r="Q98" s="78">
        <f t="shared" si="28"/>
        <v>911947</v>
      </c>
      <c r="R98" s="78">
        <f t="shared" si="28"/>
        <v>911947</v>
      </c>
      <c r="S98" s="78"/>
      <c r="T98" s="78"/>
      <c r="U98" s="78">
        <f t="shared" si="28"/>
        <v>906662</v>
      </c>
      <c r="V98" s="78"/>
      <c r="W98" s="78">
        <f t="shared" si="28"/>
        <v>906662</v>
      </c>
      <c r="X98" s="78">
        <f t="shared" si="28"/>
        <v>906662</v>
      </c>
      <c r="Y98" s="125">
        <f>+Y97+Y94+Y90</f>
        <v>906662</v>
      </c>
      <c r="Z98" s="43"/>
      <c r="AA98" s="3"/>
      <c r="AB98" s="3"/>
      <c r="AC98" s="3"/>
      <c r="AD98" s="3"/>
    </row>
    <row r="99" spans="1:30" ht="19.5" customHeight="1" x14ac:dyDescent="0.35">
      <c r="A99" s="31">
        <v>50</v>
      </c>
      <c r="B99" s="45" t="s">
        <v>81</v>
      </c>
      <c r="C99" s="45"/>
      <c r="D99" s="32"/>
      <c r="E99" s="32"/>
      <c r="F99" s="32"/>
      <c r="G99" s="32"/>
      <c r="H99" s="32"/>
      <c r="I99" s="32"/>
      <c r="J99" s="41"/>
      <c r="K99" s="41"/>
      <c r="L99" s="41"/>
      <c r="M99" s="41"/>
      <c r="N99" s="48">
        <f t="shared" si="14"/>
        <v>0</v>
      </c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129"/>
      <c r="Z99" s="43"/>
      <c r="AA99" s="3"/>
      <c r="AB99" s="3"/>
      <c r="AC99" s="3"/>
      <c r="AD99" s="3"/>
    </row>
    <row r="100" spans="1:30" ht="19.5" customHeight="1" x14ac:dyDescent="0.35">
      <c r="A100" s="31">
        <v>5100</v>
      </c>
      <c r="B100" s="45" t="s">
        <v>82</v>
      </c>
      <c r="C100" s="32"/>
      <c r="D100" s="32"/>
      <c r="E100" s="32"/>
      <c r="F100" s="32"/>
      <c r="G100" s="32"/>
      <c r="H100" s="32"/>
      <c r="I100" s="32"/>
      <c r="J100" s="41"/>
      <c r="K100" s="41"/>
      <c r="L100" s="41"/>
      <c r="M100" s="41"/>
      <c r="N100" s="48">
        <f t="shared" si="14"/>
        <v>0</v>
      </c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129"/>
      <c r="Z100" s="43"/>
      <c r="AA100" s="3"/>
      <c r="AB100" s="3"/>
      <c r="AC100" s="3"/>
      <c r="AD100" s="3"/>
    </row>
    <row r="101" spans="1:30" ht="19.5" customHeight="1" x14ac:dyDescent="0.35">
      <c r="A101" s="31"/>
      <c r="B101" s="45" t="s">
        <v>16</v>
      </c>
      <c r="C101" s="32" t="s">
        <v>83</v>
      </c>
      <c r="D101" s="75">
        <f>8100</f>
        <v>8100</v>
      </c>
      <c r="E101" s="75">
        <f>8100</f>
        <v>8100</v>
      </c>
      <c r="F101" s="75">
        <v>2661.52</v>
      </c>
      <c r="G101" s="75">
        <f>+D101</f>
        <v>8100</v>
      </c>
      <c r="H101" s="75">
        <f>+E101</f>
        <v>8100</v>
      </c>
      <c r="I101" s="75">
        <v>234.4</v>
      </c>
      <c r="J101" s="47">
        <f>+H101-I101</f>
        <v>7865.6</v>
      </c>
      <c r="K101" s="47"/>
      <c r="L101" s="88">
        <v>8100</v>
      </c>
      <c r="M101" s="88">
        <f>+G101</f>
        <v>8100</v>
      </c>
      <c r="N101" s="48">
        <f t="shared" si="14"/>
        <v>0</v>
      </c>
      <c r="O101" s="88">
        <v>8100</v>
      </c>
      <c r="P101" s="88"/>
      <c r="Q101" s="88">
        <v>8100</v>
      </c>
      <c r="R101" s="88">
        <v>8100</v>
      </c>
      <c r="S101" s="88"/>
      <c r="T101" s="88"/>
      <c r="U101" s="88">
        <v>8100</v>
      </c>
      <c r="V101" s="88"/>
      <c r="W101" s="88">
        <v>8100</v>
      </c>
      <c r="X101" s="88">
        <v>8100</v>
      </c>
      <c r="Y101" s="127">
        <v>8100</v>
      </c>
      <c r="Z101" s="40" t="s">
        <v>75</v>
      </c>
      <c r="AA101" s="3"/>
      <c r="AB101" s="3"/>
      <c r="AC101" s="3"/>
      <c r="AD101" s="3"/>
    </row>
    <row r="102" spans="1:30" ht="19.5" customHeight="1" x14ac:dyDescent="0.35">
      <c r="A102" s="31"/>
      <c r="B102" s="45" t="s">
        <v>18</v>
      </c>
      <c r="C102" s="32" t="s">
        <v>84</v>
      </c>
      <c r="D102" s="75">
        <f>8000</f>
        <v>8000</v>
      </c>
      <c r="E102" s="75">
        <f>8000</f>
        <v>8000</v>
      </c>
      <c r="F102" s="75">
        <v>1117.4899999999998</v>
      </c>
      <c r="G102" s="75">
        <f>+D102</f>
        <v>8000</v>
      </c>
      <c r="H102" s="75">
        <f>+E102</f>
        <v>8000</v>
      </c>
      <c r="I102" s="75">
        <v>5308.92</v>
      </c>
      <c r="J102" s="47">
        <f>+H102-I102</f>
        <v>2691.08</v>
      </c>
      <c r="K102" s="47"/>
      <c r="L102" s="75">
        <v>8000</v>
      </c>
      <c r="M102" s="75">
        <f>+G102</f>
        <v>8000</v>
      </c>
      <c r="N102" s="48">
        <f t="shared" si="14"/>
        <v>0</v>
      </c>
      <c r="O102" s="75">
        <v>8000</v>
      </c>
      <c r="P102" s="75"/>
      <c r="Q102" s="75">
        <v>8000</v>
      </c>
      <c r="R102" s="75">
        <v>8000</v>
      </c>
      <c r="S102" s="75"/>
      <c r="T102" s="75"/>
      <c r="U102" s="75">
        <v>8000</v>
      </c>
      <c r="V102" s="75"/>
      <c r="W102" s="75">
        <v>8000</v>
      </c>
      <c r="X102" s="75">
        <v>8000</v>
      </c>
      <c r="Y102" s="130">
        <v>8000</v>
      </c>
      <c r="Z102" s="43" t="s">
        <v>75</v>
      </c>
      <c r="AA102" s="3"/>
      <c r="AB102" s="3"/>
      <c r="AC102" s="3"/>
      <c r="AD102" s="3"/>
    </row>
    <row r="103" spans="1:30" ht="19.5" customHeight="1" x14ac:dyDescent="0.35">
      <c r="A103" s="31"/>
      <c r="B103" s="45" t="s">
        <v>20</v>
      </c>
      <c r="C103" s="32" t="s">
        <v>85</v>
      </c>
      <c r="D103" s="75">
        <v>15000</v>
      </c>
      <c r="E103" s="75">
        <v>15000</v>
      </c>
      <c r="F103" s="75">
        <v>4678.79</v>
      </c>
      <c r="G103" s="75">
        <v>15000</v>
      </c>
      <c r="H103" s="75">
        <v>15000</v>
      </c>
      <c r="I103" s="75">
        <v>3011.15</v>
      </c>
      <c r="J103" s="47">
        <f>+H103-I103</f>
        <v>11988.85</v>
      </c>
      <c r="K103" s="47"/>
      <c r="L103" s="88">
        <v>15000</v>
      </c>
      <c r="M103" s="88">
        <v>15000</v>
      </c>
      <c r="N103" s="48">
        <f t="shared" si="14"/>
        <v>0</v>
      </c>
      <c r="O103" s="88">
        <v>15000</v>
      </c>
      <c r="P103" s="88"/>
      <c r="Q103" s="88">
        <v>15000</v>
      </c>
      <c r="R103" s="88">
        <v>15000</v>
      </c>
      <c r="S103" s="88"/>
      <c r="T103" s="88"/>
      <c r="U103" s="88">
        <v>10000</v>
      </c>
      <c r="V103" s="88"/>
      <c r="W103" s="88">
        <v>10000</v>
      </c>
      <c r="X103" s="88">
        <f>+W103</f>
        <v>10000</v>
      </c>
      <c r="Y103" s="127">
        <f>+X103</f>
        <v>10000</v>
      </c>
      <c r="Z103" s="43" t="s">
        <v>75</v>
      </c>
      <c r="AA103" s="3"/>
      <c r="AB103" s="3"/>
      <c r="AC103" s="93"/>
      <c r="AD103" s="3"/>
    </row>
    <row r="104" spans="1:30" ht="19.5" customHeight="1" x14ac:dyDescent="0.35">
      <c r="A104" s="31"/>
      <c r="B104" s="45" t="s">
        <v>22</v>
      </c>
      <c r="C104" s="32" t="s">
        <v>86</v>
      </c>
      <c r="D104" s="75">
        <v>8000</v>
      </c>
      <c r="E104" s="75">
        <v>8000</v>
      </c>
      <c r="F104" s="75">
        <v>533.84999999999991</v>
      </c>
      <c r="G104" s="75">
        <v>8000</v>
      </c>
      <c r="H104" s="75">
        <v>8000</v>
      </c>
      <c r="I104" s="75">
        <v>0</v>
      </c>
      <c r="J104" s="47">
        <f>+H104-I104</f>
        <v>8000</v>
      </c>
      <c r="K104" s="47"/>
      <c r="L104" s="88">
        <v>8000</v>
      </c>
      <c r="M104" s="88">
        <v>8000</v>
      </c>
      <c r="N104" s="48">
        <f t="shared" si="14"/>
        <v>0</v>
      </c>
      <c r="O104" s="88">
        <v>8000</v>
      </c>
      <c r="P104" s="88"/>
      <c r="Q104" s="88">
        <v>8000</v>
      </c>
      <c r="R104" s="88">
        <v>8000</v>
      </c>
      <c r="S104" s="88"/>
      <c r="T104" s="88"/>
      <c r="U104" s="88">
        <v>8000</v>
      </c>
      <c r="V104" s="88"/>
      <c r="W104" s="88">
        <v>8000</v>
      </c>
      <c r="X104" s="88">
        <v>8000</v>
      </c>
      <c r="Y104" s="127">
        <v>8000</v>
      </c>
      <c r="Z104" s="43" t="s">
        <v>75</v>
      </c>
      <c r="AA104" s="3"/>
      <c r="AB104" s="3"/>
      <c r="AC104" s="3"/>
      <c r="AD104" s="3"/>
    </row>
    <row r="105" spans="1:30" ht="19.5" customHeight="1" x14ac:dyDescent="0.35">
      <c r="A105" s="31"/>
      <c r="B105" s="45" t="s">
        <v>23</v>
      </c>
      <c r="C105" s="32" t="s">
        <v>87</v>
      </c>
      <c r="D105" s="75">
        <v>10000</v>
      </c>
      <c r="E105" s="75">
        <v>10000</v>
      </c>
      <c r="F105" s="75">
        <v>3138.2599999999998</v>
      </c>
      <c r="G105" s="75">
        <v>10000</v>
      </c>
      <c r="H105" s="75">
        <v>10000</v>
      </c>
      <c r="I105" s="75">
        <v>4978</v>
      </c>
      <c r="J105" s="47">
        <f>+H105-I105</f>
        <v>5022</v>
      </c>
      <c r="K105" s="47"/>
      <c r="L105" s="88">
        <v>10000</v>
      </c>
      <c r="M105" s="88">
        <v>10000</v>
      </c>
      <c r="N105" s="48">
        <f t="shared" si="14"/>
        <v>0</v>
      </c>
      <c r="O105" s="88">
        <v>10000</v>
      </c>
      <c r="P105" s="88"/>
      <c r="Q105" s="88">
        <v>10000</v>
      </c>
      <c r="R105" s="88">
        <v>10000</v>
      </c>
      <c r="S105" s="88"/>
      <c r="T105" s="88"/>
      <c r="U105" s="88">
        <v>10000</v>
      </c>
      <c r="V105" s="88"/>
      <c r="W105" s="88">
        <v>10000</v>
      </c>
      <c r="X105" s="88">
        <v>10000</v>
      </c>
      <c r="Y105" s="127">
        <v>10000</v>
      </c>
      <c r="Z105" s="43" t="s">
        <v>75</v>
      </c>
      <c r="AA105" s="3"/>
      <c r="AB105" s="3"/>
      <c r="AC105" s="3"/>
      <c r="AD105" s="3"/>
    </row>
    <row r="106" spans="1:30" s="95" customFormat="1" ht="19.5" customHeight="1" x14ac:dyDescent="0.3">
      <c r="A106" s="58">
        <v>5199</v>
      </c>
      <c r="B106" s="59"/>
      <c r="C106" s="60" t="s">
        <v>41</v>
      </c>
      <c r="D106" s="67">
        <f t="shared" ref="D106:J106" si="29">SUM(D101:D105)</f>
        <v>49100</v>
      </c>
      <c r="E106" s="67">
        <f t="shared" si="29"/>
        <v>49100</v>
      </c>
      <c r="F106" s="67">
        <f t="shared" si="29"/>
        <v>12129.91</v>
      </c>
      <c r="G106" s="67">
        <f t="shared" si="29"/>
        <v>49100</v>
      </c>
      <c r="H106" s="67">
        <f t="shared" si="29"/>
        <v>49100</v>
      </c>
      <c r="I106" s="67">
        <f t="shared" si="29"/>
        <v>13532.47</v>
      </c>
      <c r="J106" s="67">
        <f t="shared" si="29"/>
        <v>35567.53</v>
      </c>
      <c r="K106" s="78"/>
      <c r="L106" s="78">
        <f>SUM(L101:L105)</f>
        <v>49100</v>
      </c>
      <c r="M106" s="78">
        <f>SUM(M101:M105)</f>
        <v>49100</v>
      </c>
      <c r="N106" s="48">
        <f t="shared" si="14"/>
        <v>0</v>
      </c>
      <c r="O106" s="78">
        <f t="shared" ref="O106:X106" si="30">SUM(O101:O105)</f>
        <v>49100</v>
      </c>
      <c r="P106" s="78">
        <f t="shared" si="30"/>
        <v>0</v>
      </c>
      <c r="Q106" s="78">
        <f t="shared" si="30"/>
        <v>49100</v>
      </c>
      <c r="R106" s="78">
        <f t="shared" si="30"/>
        <v>49100</v>
      </c>
      <c r="S106" s="78"/>
      <c r="T106" s="78"/>
      <c r="U106" s="78">
        <f t="shared" si="30"/>
        <v>44100</v>
      </c>
      <c r="V106" s="78"/>
      <c r="W106" s="78">
        <f t="shared" si="30"/>
        <v>44100</v>
      </c>
      <c r="X106" s="78">
        <f t="shared" si="30"/>
        <v>44100</v>
      </c>
      <c r="Y106" s="125">
        <f>SUM(Y101:Y105)</f>
        <v>44100</v>
      </c>
      <c r="Z106" s="118"/>
      <c r="AA106" s="94"/>
      <c r="AB106" s="94"/>
      <c r="AC106" s="94"/>
      <c r="AD106" s="94"/>
    </row>
    <row r="107" spans="1:30" ht="19.5" customHeight="1" x14ac:dyDescent="0.35">
      <c r="A107" s="31">
        <v>5200</v>
      </c>
      <c r="B107" s="32" t="s">
        <v>88</v>
      </c>
      <c r="C107" s="32"/>
      <c r="D107" s="32"/>
      <c r="E107" s="32"/>
      <c r="F107" s="32"/>
      <c r="G107" s="32"/>
      <c r="H107" s="32"/>
      <c r="I107" s="32"/>
      <c r="J107" s="41"/>
      <c r="K107" s="41"/>
      <c r="L107" s="41"/>
      <c r="M107" s="41"/>
      <c r="N107" s="48">
        <f t="shared" si="14"/>
        <v>0</v>
      </c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129"/>
      <c r="Z107" s="43"/>
      <c r="AA107" s="3"/>
      <c r="AB107" s="3"/>
      <c r="AC107" s="3"/>
      <c r="AD107" s="3"/>
    </row>
    <row r="108" spans="1:30" ht="19.5" customHeight="1" x14ac:dyDescent="0.35">
      <c r="A108" s="31"/>
      <c r="B108" s="45" t="s">
        <v>16</v>
      </c>
      <c r="C108" s="32" t="s">
        <v>89</v>
      </c>
      <c r="D108" s="75">
        <f>15300*0.7</f>
        <v>10710</v>
      </c>
      <c r="E108" s="75">
        <f>15300*0.7</f>
        <v>10710</v>
      </c>
      <c r="F108" s="75">
        <v>1601</v>
      </c>
      <c r="G108" s="75">
        <f>+D108</f>
        <v>10710</v>
      </c>
      <c r="H108" s="75">
        <f>+E108</f>
        <v>10710</v>
      </c>
      <c r="I108" s="75">
        <v>7385.84</v>
      </c>
      <c r="J108" s="47">
        <f>+H108-I108</f>
        <v>3324.16</v>
      </c>
      <c r="K108" s="47"/>
      <c r="L108" s="88">
        <v>10710</v>
      </c>
      <c r="M108" s="88">
        <f>+G108</f>
        <v>10710</v>
      </c>
      <c r="N108" s="48">
        <f t="shared" si="14"/>
        <v>0</v>
      </c>
      <c r="O108" s="88">
        <v>10710</v>
      </c>
      <c r="P108" s="88"/>
      <c r="Q108" s="88">
        <v>10710</v>
      </c>
      <c r="R108" s="88">
        <v>10710</v>
      </c>
      <c r="S108" s="88"/>
      <c r="T108" s="88"/>
      <c r="U108" s="88">
        <v>10710</v>
      </c>
      <c r="V108" s="88"/>
      <c r="W108" s="88">
        <v>10710</v>
      </c>
      <c r="X108" s="88">
        <v>10710</v>
      </c>
      <c r="Y108" s="127">
        <v>10710</v>
      </c>
      <c r="Z108" s="43"/>
      <c r="AA108" s="3"/>
      <c r="AB108" s="93"/>
      <c r="AC108" s="3"/>
      <c r="AD108" s="3"/>
    </row>
    <row r="109" spans="1:30" s="95" customFormat="1" ht="19.5" customHeight="1" x14ac:dyDescent="0.3">
      <c r="A109" s="58">
        <v>5299</v>
      </c>
      <c r="B109" s="60"/>
      <c r="C109" s="59" t="s">
        <v>41</v>
      </c>
      <c r="D109" s="67">
        <f t="shared" ref="D109:M109" si="31">D108</f>
        <v>10710</v>
      </c>
      <c r="E109" s="67">
        <f t="shared" si="31"/>
        <v>10710</v>
      </c>
      <c r="F109" s="67">
        <f t="shared" si="31"/>
        <v>1601</v>
      </c>
      <c r="G109" s="67">
        <f t="shared" si="31"/>
        <v>10710</v>
      </c>
      <c r="H109" s="67">
        <f t="shared" si="31"/>
        <v>10710</v>
      </c>
      <c r="I109" s="67">
        <f t="shared" si="31"/>
        <v>7385.84</v>
      </c>
      <c r="J109" s="67">
        <f t="shared" si="31"/>
        <v>3324.16</v>
      </c>
      <c r="K109" s="78"/>
      <c r="L109" s="78">
        <f>L108</f>
        <v>10710</v>
      </c>
      <c r="M109" s="78">
        <f t="shared" si="31"/>
        <v>10710</v>
      </c>
      <c r="N109" s="48">
        <f t="shared" si="14"/>
        <v>0</v>
      </c>
      <c r="O109" s="78">
        <f t="shared" ref="O109:X109" si="32">O108</f>
        <v>10710</v>
      </c>
      <c r="P109" s="78">
        <f t="shared" si="32"/>
        <v>0</v>
      </c>
      <c r="Q109" s="78">
        <f t="shared" si="32"/>
        <v>10710</v>
      </c>
      <c r="R109" s="78">
        <f t="shared" si="32"/>
        <v>10710</v>
      </c>
      <c r="S109" s="78"/>
      <c r="T109" s="78"/>
      <c r="U109" s="78">
        <f t="shared" si="32"/>
        <v>10710</v>
      </c>
      <c r="V109" s="78"/>
      <c r="W109" s="78">
        <f t="shared" si="32"/>
        <v>10710</v>
      </c>
      <c r="X109" s="78">
        <f t="shared" si="32"/>
        <v>10710</v>
      </c>
      <c r="Y109" s="125">
        <f>Y108</f>
        <v>10710</v>
      </c>
      <c r="Z109" s="118"/>
      <c r="AA109" s="94"/>
      <c r="AB109" s="94"/>
      <c r="AC109" s="94"/>
      <c r="AD109" s="94"/>
    </row>
    <row r="110" spans="1:30" ht="19.5" customHeight="1" x14ac:dyDescent="0.35">
      <c r="A110" s="31">
        <v>5300</v>
      </c>
      <c r="B110" s="45" t="s">
        <v>90</v>
      </c>
      <c r="C110" s="32"/>
      <c r="D110" s="32"/>
      <c r="E110" s="32"/>
      <c r="F110" s="32"/>
      <c r="G110" s="32"/>
      <c r="H110" s="32"/>
      <c r="I110" s="32"/>
      <c r="J110" s="41"/>
      <c r="K110" s="41"/>
      <c r="L110" s="41"/>
      <c r="M110" s="41"/>
      <c r="N110" s="48">
        <f t="shared" si="14"/>
        <v>0</v>
      </c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129"/>
      <c r="Z110" s="43"/>
      <c r="AA110" s="3"/>
      <c r="AB110" s="3"/>
      <c r="AC110" s="3"/>
      <c r="AD110" s="3"/>
    </row>
    <row r="111" spans="1:30" ht="19.5" customHeight="1" x14ac:dyDescent="0.35">
      <c r="A111" s="31"/>
      <c r="B111" s="45" t="s">
        <v>16</v>
      </c>
      <c r="C111" s="32" t="s">
        <v>91</v>
      </c>
      <c r="D111" s="75">
        <f>58500</f>
        <v>58500</v>
      </c>
      <c r="E111" s="75">
        <f>58500</f>
        <v>58500</v>
      </c>
      <c r="F111" s="75">
        <v>32104</v>
      </c>
      <c r="G111" s="75">
        <v>58500</v>
      </c>
      <c r="H111" s="75">
        <v>58500</v>
      </c>
      <c r="I111" s="75">
        <v>50025.67</v>
      </c>
      <c r="J111" s="47">
        <f t="shared" ref="J111:J116" si="33">+H111-I111</f>
        <v>8474.3300000000017</v>
      </c>
      <c r="K111" s="47"/>
      <c r="L111" s="88">
        <v>58500</v>
      </c>
      <c r="M111" s="88">
        <v>58500</v>
      </c>
      <c r="N111" s="48">
        <f t="shared" si="14"/>
        <v>0</v>
      </c>
      <c r="O111" s="88">
        <v>58500</v>
      </c>
      <c r="P111" s="88"/>
      <c r="Q111" s="88">
        <v>58500</v>
      </c>
      <c r="R111" s="88">
        <v>58500</v>
      </c>
      <c r="S111" s="88"/>
      <c r="T111" s="88"/>
      <c r="U111" s="88">
        <v>45000</v>
      </c>
      <c r="V111" s="88"/>
      <c r="W111" s="88">
        <v>45000</v>
      </c>
      <c r="X111" s="88">
        <f t="shared" ref="X111:Y114" si="34">+W111</f>
        <v>45000</v>
      </c>
      <c r="Y111" s="127">
        <f t="shared" si="34"/>
        <v>45000</v>
      </c>
      <c r="Z111" s="43" t="s">
        <v>75</v>
      </c>
      <c r="AA111" s="3"/>
      <c r="AB111" s="3"/>
      <c r="AC111" s="93"/>
      <c r="AD111" s="3"/>
    </row>
    <row r="112" spans="1:30" ht="19.5" customHeight="1" x14ac:dyDescent="0.35">
      <c r="A112" s="31"/>
      <c r="B112" s="45" t="s">
        <v>18</v>
      </c>
      <c r="C112" s="32" t="s">
        <v>92</v>
      </c>
      <c r="D112" s="75">
        <f>13500*0.7</f>
        <v>9450</v>
      </c>
      <c r="E112" s="75">
        <f>13500*0.7</f>
        <v>9450</v>
      </c>
      <c r="F112" s="75">
        <v>1820</v>
      </c>
      <c r="G112" s="75">
        <f>+D112</f>
        <v>9450</v>
      </c>
      <c r="H112" s="75">
        <f>+E112</f>
        <v>9450</v>
      </c>
      <c r="I112" s="75">
        <v>2896.7599999999998</v>
      </c>
      <c r="J112" s="47">
        <f t="shared" si="33"/>
        <v>6553.24</v>
      </c>
      <c r="K112" s="47"/>
      <c r="L112" s="88">
        <v>9450</v>
      </c>
      <c r="M112" s="88">
        <f>+G112</f>
        <v>9450</v>
      </c>
      <c r="N112" s="48">
        <f t="shared" si="14"/>
        <v>0</v>
      </c>
      <c r="O112" s="88">
        <v>9450</v>
      </c>
      <c r="P112" s="88"/>
      <c r="Q112" s="88">
        <v>9450</v>
      </c>
      <c r="R112" s="88">
        <v>9450</v>
      </c>
      <c r="S112" s="88"/>
      <c r="T112" s="88"/>
      <c r="U112" s="88">
        <v>6000</v>
      </c>
      <c r="V112" s="88"/>
      <c r="W112" s="88">
        <v>6000</v>
      </c>
      <c r="X112" s="88">
        <f t="shared" si="34"/>
        <v>6000</v>
      </c>
      <c r="Y112" s="127">
        <f t="shared" si="34"/>
        <v>6000</v>
      </c>
      <c r="Z112" s="43" t="s">
        <v>75</v>
      </c>
      <c r="AA112" s="3"/>
      <c r="AB112" s="3"/>
      <c r="AC112" s="93"/>
      <c r="AD112" s="3"/>
    </row>
    <row r="113" spans="1:30" s="55" customFormat="1" ht="19.5" customHeight="1" x14ac:dyDescent="0.35">
      <c r="A113" s="31"/>
      <c r="B113" s="45" t="s">
        <v>20</v>
      </c>
      <c r="C113" s="32" t="s">
        <v>93</v>
      </c>
      <c r="D113" s="75">
        <v>4500</v>
      </c>
      <c r="E113" s="75">
        <v>4500</v>
      </c>
      <c r="F113" s="75">
        <v>1600</v>
      </c>
      <c r="G113" s="75">
        <v>4500</v>
      </c>
      <c r="H113" s="75">
        <v>4500</v>
      </c>
      <c r="I113" s="75">
        <v>199.85</v>
      </c>
      <c r="J113" s="47">
        <f t="shared" si="33"/>
        <v>4300.1499999999996</v>
      </c>
      <c r="K113" s="47"/>
      <c r="L113" s="88">
        <v>4500</v>
      </c>
      <c r="M113" s="88">
        <v>4500</v>
      </c>
      <c r="N113" s="48">
        <f t="shared" si="14"/>
        <v>0</v>
      </c>
      <c r="O113" s="88">
        <v>4500</v>
      </c>
      <c r="P113" s="88"/>
      <c r="Q113" s="88">
        <v>4500</v>
      </c>
      <c r="R113" s="88">
        <v>4500</v>
      </c>
      <c r="S113" s="88"/>
      <c r="T113" s="88"/>
      <c r="U113" s="88">
        <v>2500</v>
      </c>
      <c r="V113" s="88"/>
      <c r="W113" s="88">
        <v>2500</v>
      </c>
      <c r="X113" s="88">
        <f t="shared" si="34"/>
        <v>2500</v>
      </c>
      <c r="Y113" s="127">
        <f t="shared" si="34"/>
        <v>2500</v>
      </c>
      <c r="Z113" s="43" t="s">
        <v>94</v>
      </c>
      <c r="AA113" s="2"/>
      <c r="AB113" s="2"/>
      <c r="AC113" s="93"/>
      <c r="AD113" s="2"/>
    </row>
    <row r="114" spans="1:30" ht="19.5" customHeight="1" x14ac:dyDescent="0.35">
      <c r="A114" s="31"/>
      <c r="B114" s="45" t="s">
        <v>23</v>
      </c>
      <c r="C114" s="32" t="s">
        <v>95</v>
      </c>
      <c r="D114" s="75">
        <v>20137</v>
      </c>
      <c r="E114" s="75">
        <v>20137</v>
      </c>
      <c r="F114" s="75">
        <v>211</v>
      </c>
      <c r="G114" s="75">
        <v>20137</v>
      </c>
      <c r="H114" s="75">
        <v>20137</v>
      </c>
      <c r="I114" s="75">
        <v>0</v>
      </c>
      <c r="J114" s="47">
        <f t="shared" si="33"/>
        <v>20137</v>
      </c>
      <c r="K114" s="47"/>
      <c r="L114" s="88">
        <v>20137</v>
      </c>
      <c r="M114" s="88">
        <v>20137</v>
      </c>
      <c r="N114" s="48">
        <f t="shared" si="14"/>
        <v>0</v>
      </c>
      <c r="O114" s="88">
        <v>20137</v>
      </c>
      <c r="P114" s="88"/>
      <c r="Q114" s="88">
        <v>20137</v>
      </c>
      <c r="R114" s="88">
        <v>20137</v>
      </c>
      <c r="S114" s="88"/>
      <c r="T114" s="88"/>
      <c r="U114" s="88">
        <v>20137</v>
      </c>
      <c r="V114" s="88"/>
      <c r="W114" s="88">
        <v>20137</v>
      </c>
      <c r="X114" s="88">
        <f t="shared" si="34"/>
        <v>20137</v>
      </c>
      <c r="Y114" s="127">
        <f t="shared" si="34"/>
        <v>20137</v>
      </c>
      <c r="Z114" s="43" t="s">
        <v>94</v>
      </c>
      <c r="AA114" s="3"/>
      <c r="AB114" s="3"/>
      <c r="AC114" s="93"/>
      <c r="AD114" s="3"/>
    </row>
    <row r="115" spans="1:30" s="55" customFormat="1" ht="19.5" customHeight="1" x14ac:dyDescent="0.35">
      <c r="A115" s="31"/>
      <c r="B115" s="45" t="s">
        <v>24</v>
      </c>
      <c r="C115" s="32" t="s">
        <v>96</v>
      </c>
      <c r="D115" s="75">
        <v>4500</v>
      </c>
      <c r="E115" s="75">
        <v>4500</v>
      </c>
      <c r="F115" s="75">
        <v>1600</v>
      </c>
      <c r="G115" s="75"/>
      <c r="H115" s="75"/>
      <c r="I115" s="75">
        <v>1793</v>
      </c>
      <c r="J115" s="47">
        <f t="shared" si="33"/>
        <v>-1793</v>
      </c>
      <c r="K115" s="47"/>
      <c r="L115" s="88"/>
      <c r="M115" s="88"/>
      <c r="N115" s="48">
        <f t="shared" si="14"/>
        <v>0</v>
      </c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127"/>
      <c r="Z115" s="43"/>
      <c r="AA115" s="2"/>
      <c r="AB115" s="2"/>
      <c r="AC115" s="2"/>
      <c r="AD115" s="2"/>
    </row>
    <row r="116" spans="1:30" ht="19.5" customHeight="1" x14ac:dyDescent="0.35">
      <c r="A116" s="31"/>
      <c r="B116" s="45" t="s">
        <v>22</v>
      </c>
      <c r="C116" s="32" t="s">
        <v>97</v>
      </c>
      <c r="D116" s="75">
        <v>20137</v>
      </c>
      <c r="E116" s="75">
        <v>20137</v>
      </c>
      <c r="F116" s="75">
        <v>211</v>
      </c>
      <c r="G116" s="75"/>
      <c r="H116" s="75"/>
      <c r="I116" s="75">
        <v>3276</v>
      </c>
      <c r="J116" s="47">
        <f t="shared" si="33"/>
        <v>-3276</v>
      </c>
      <c r="K116" s="47"/>
      <c r="L116" s="88"/>
      <c r="M116" s="88"/>
      <c r="N116" s="48">
        <f t="shared" si="14"/>
        <v>0</v>
      </c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127"/>
      <c r="Z116" s="43"/>
      <c r="AA116" s="3"/>
      <c r="AB116" s="3"/>
      <c r="AC116" s="3"/>
      <c r="AD116" s="3"/>
    </row>
    <row r="117" spans="1:30" s="95" customFormat="1" ht="19.5" customHeight="1" x14ac:dyDescent="0.3">
      <c r="A117" s="58">
        <v>5399</v>
      </c>
      <c r="B117" s="60"/>
      <c r="C117" s="59" t="s">
        <v>41</v>
      </c>
      <c r="D117" s="79">
        <f t="shared" ref="D117:M117" si="35">SUM(D111:D116)</f>
        <v>117224</v>
      </c>
      <c r="E117" s="79">
        <f t="shared" si="35"/>
        <v>117224</v>
      </c>
      <c r="F117" s="79">
        <f t="shared" si="35"/>
        <v>37546</v>
      </c>
      <c r="G117" s="79">
        <f t="shared" si="35"/>
        <v>92587</v>
      </c>
      <c r="H117" s="79">
        <f t="shared" si="35"/>
        <v>92587</v>
      </c>
      <c r="I117" s="79">
        <f t="shared" si="35"/>
        <v>58191.28</v>
      </c>
      <c r="J117" s="79">
        <f t="shared" si="35"/>
        <v>34395.72</v>
      </c>
      <c r="K117" s="79"/>
      <c r="L117" s="79">
        <f>SUM(L111:L116)</f>
        <v>92587</v>
      </c>
      <c r="M117" s="79">
        <f t="shared" si="35"/>
        <v>92587</v>
      </c>
      <c r="N117" s="48">
        <f t="shared" si="14"/>
        <v>0</v>
      </c>
      <c r="O117" s="79">
        <f t="shared" ref="O117:X117" si="36">SUM(O111:O116)</f>
        <v>92587</v>
      </c>
      <c r="P117" s="79">
        <f t="shared" si="36"/>
        <v>0</v>
      </c>
      <c r="Q117" s="79">
        <f t="shared" si="36"/>
        <v>92587</v>
      </c>
      <c r="R117" s="79">
        <f t="shared" si="36"/>
        <v>92587</v>
      </c>
      <c r="S117" s="79"/>
      <c r="T117" s="79"/>
      <c r="U117" s="79">
        <f t="shared" si="36"/>
        <v>73637</v>
      </c>
      <c r="V117" s="79"/>
      <c r="W117" s="79">
        <f t="shared" si="36"/>
        <v>73637</v>
      </c>
      <c r="X117" s="79">
        <f t="shared" si="36"/>
        <v>73637</v>
      </c>
      <c r="Y117" s="131">
        <f>SUM(Y111:Y116)</f>
        <v>73637</v>
      </c>
      <c r="Z117" s="118"/>
      <c r="AA117" s="94"/>
      <c r="AB117" s="94"/>
      <c r="AC117" s="94"/>
      <c r="AD117" s="94"/>
    </row>
    <row r="118" spans="1:30" ht="19.5" customHeight="1" x14ac:dyDescent="0.35">
      <c r="A118" s="31">
        <v>5400</v>
      </c>
      <c r="B118" s="31" t="s">
        <v>98</v>
      </c>
      <c r="C118" s="31"/>
      <c r="D118" s="32"/>
      <c r="E118" s="32"/>
      <c r="F118" s="32"/>
      <c r="G118" s="32"/>
      <c r="H118" s="32"/>
      <c r="I118" s="32"/>
      <c r="J118" s="41"/>
      <c r="K118" s="41"/>
      <c r="L118" s="41"/>
      <c r="M118" s="41"/>
      <c r="N118" s="48">
        <f t="shared" si="14"/>
        <v>0</v>
      </c>
      <c r="O118" s="41"/>
      <c r="P118" s="41"/>
      <c r="Q118" s="41"/>
      <c r="R118" s="41"/>
      <c r="S118" s="88"/>
      <c r="T118" s="41"/>
      <c r="U118" s="41"/>
      <c r="V118" s="41"/>
      <c r="W118" s="41"/>
      <c r="X118" s="41"/>
      <c r="Y118" s="129"/>
      <c r="Z118" s="43"/>
      <c r="AA118" s="3"/>
      <c r="AB118" s="3"/>
      <c r="AC118" s="3"/>
      <c r="AD118" s="3"/>
    </row>
    <row r="119" spans="1:30" ht="21.75" customHeight="1" x14ac:dyDescent="0.35">
      <c r="A119" s="31"/>
      <c r="B119" s="45" t="s">
        <v>16</v>
      </c>
      <c r="C119" s="32" t="s">
        <v>99</v>
      </c>
      <c r="D119" s="75">
        <f>24000*0.7</f>
        <v>16800</v>
      </c>
      <c r="E119" s="75">
        <f>24000*0.7</f>
        <v>16800</v>
      </c>
      <c r="F119" s="75">
        <v>17914</v>
      </c>
      <c r="G119" s="75">
        <f>+D119</f>
        <v>16800</v>
      </c>
      <c r="H119" s="75">
        <f>+E119</f>
        <v>16800</v>
      </c>
      <c r="I119" s="75">
        <v>9561.630000000001</v>
      </c>
      <c r="J119" s="47">
        <f>+H119-I119</f>
        <v>7238.369999999999</v>
      </c>
      <c r="K119" s="47">
        <v>7238</v>
      </c>
      <c r="L119" s="88">
        <f>16800</f>
        <v>16800</v>
      </c>
      <c r="M119" s="92">
        <f>16800+7238</f>
        <v>24038</v>
      </c>
      <c r="N119" s="48">
        <f t="shared" si="14"/>
        <v>-7238</v>
      </c>
      <c r="O119" s="88">
        <f>16800</f>
        <v>16800</v>
      </c>
      <c r="P119" s="88"/>
      <c r="Q119" s="88">
        <f>16800</f>
        <v>16800</v>
      </c>
      <c r="R119" s="88">
        <f>16800</f>
        <v>16800</v>
      </c>
      <c r="S119" s="88"/>
      <c r="T119" s="88"/>
      <c r="U119" s="88">
        <f>8400*2</f>
        <v>16800</v>
      </c>
      <c r="V119" s="88"/>
      <c r="W119" s="88">
        <f>8400*2</f>
        <v>16800</v>
      </c>
      <c r="X119" s="88">
        <f>8400*2</f>
        <v>16800</v>
      </c>
      <c r="Y119" s="127">
        <f>8400*2</f>
        <v>16800</v>
      </c>
      <c r="Z119" s="43" t="s">
        <v>111</v>
      </c>
      <c r="AA119" s="3"/>
      <c r="AB119" s="3"/>
      <c r="AC119" s="3"/>
      <c r="AD119" s="3"/>
    </row>
    <row r="120" spans="1:30" s="95" customFormat="1" ht="19.5" customHeight="1" x14ac:dyDescent="0.3">
      <c r="A120" s="58">
        <v>5499</v>
      </c>
      <c r="B120" s="59"/>
      <c r="C120" s="60" t="s">
        <v>41</v>
      </c>
      <c r="D120" s="79">
        <f t="shared" ref="D120:M120" si="37">D119</f>
        <v>16800</v>
      </c>
      <c r="E120" s="79">
        <f t="shared" si="37"/>
        <v>16800</v>
      </c>
      <c r="F120" s="79">
        <f t="shared" si="37"/>
        <v>17914</v>
      </c>
      <c r="G120" s="79">
        <f t="shared" si="37"/>
        <v>16800</v>
      </c>
      <c r="H120" s="79">
        <f t="shared" si="37"/>
        <v>16800</v>
      </c>
      <c r="I120" s="79">
        <f t="shared" si="37"/>
        <v>9561.630000000001</v>
      </c>
      <c r="J120" s="79">
        <f t="shared" si="37"/>
        <v>7238.369999999999</v>
      </c>
      <c r="K120" s="80"/>
      <c r="L120" s="80">
        <f>L119</f>
        <v>16800</v>
      </c>
      <c r="M120" s="80">
        <f t="shared" si="37"/>
        <v>24038</v>
      </c>
      <c r="N120" s="48">
        <f>+M120-L120</f>
        <v>7238</v>
      </c>
      <c r="O120" s="80">
        <f t="shared" ref="O120:X120" si="38">O119</f>
        <v>16800</v>
      </c>
      <c r="P120" s="80">
        <f t="shared" si="38"/>
        <v>0</v>
      </c>
      <c r="Q120" s="80">
        <f t="shared" si="38"/>
        <v>16800</v>
      </c>
      <c r="R120" s="80">
        <f t="shared" si="38"/>
        <v>16800</v>
      </c>
      <c r="S120" s="80"/>
      <c r="T120" s="80"/>
      <c r="U120" s="80">
        <f t="shared" si="38"/>
        <v>16800</v>
      </c>
      <c r="V120" s="80"/>
      <c r="W120" s="80">
        <f t="shared" si="38"/>
        <v>16800</v>
      </c>
      <c r="X120" s="80">
        <f t="shared" si="38"/>
        <v>16800</v>
      </c>
      <c r="Y120" s="126">
        <f>Y119</f>
        <v>16800</v>
      </c>
      <c r="Z120" s="43"/>
      <c r="AA120" s="94"/>
      <c r="AB120" s="94"/>
      <c r="AC120" s="94"/>
      <c r="AD120" s="94"/>
    </row>
    <row r="121" spans="1:30" ht="19.5" customHeight="1" x14ac:dyDescent="0.35">
      <c r="A121" s="58">
        <v>5999</v>
      </c>
      <c r="B121" s="60"/>
      <c r="C121" s="59" t="s">
        <v>60</v>
      </c>
      <c r="D121" s="67">
        <f t="shared" ref="D121:M121" si="39">+D120+D117+D109+D106</f>
        <v>193834</v>
      </c>
      <c r="E121" s="67">
        <f t="shared" si="39"/>
        <v>193834</v>
      </c>
      <c r="F121" s="67">
        <f t="shared" si="39"/>
        <v>69190.91</v>
      </c>
      <c r="G121" s="67">
        <f t="shared" si="39"/>
        <v>169197</v>
      </c>
      <c r="H121" s="67">
        <f t="shared" si="39"/>
        <v>169197</v>
      </c>
      <c r="I121" s="67">
        <f t="shared" si="39"/>
        <v>88671.22</v>
      </c>
      <c r="J121" s="67">
        <f t="shared" si="39"/>
        <v>80525.78</v>
      </c>
      <c r="K121" s="78"/>
      <c r="L121" s="78">
        <f>+L120+L117+L109+L106</f>
        <v>169197</v>
      </c>
      <c r="M121" s="78">
        <f t="shared" si="39"/>
        <v>176435</v>
      </c>
      <c r="N121" s="48">
        <f>+M121-L121</f>
        <v>7238</v>
      </c>
      <c r="O121" s="78">
        <f t="shared" ref="O121:X121" si="40">+O120+O117+O109+O106</f>
        <v>169197</v>
      </c>
      <c r="P121" s="78">
        <f t="shared" si="40"/>
        <v>0</v>
      </c>
      <c r="Q121" s="78">
        <f t="shared" si="40"/>
        <v>169197</v>
      </c>
      <c r="R121" s="78">
        <f t="shared" si="40"/>
        <v>169197</v>
      </c>
      <c r="S121" s="78"/>
      <c r="T121" s="78"/>
      <c r="U121" s="78">
        <f t="shared" si="40"/>
        <v>145247</v>
      </c>
      <c r="V121" s="78"/>
      <c r="W121" s="78">
        <f t="shared" si="40"/>
        <v>145247</v>
      </c>
      <c r="X121" s="78">
        <f t="shared" si="40"/>
        <v>145247</v>
      </c>
      <c r="Y121" s="125">
        <f>+Y120+Y117+Y109+Y106</f>
        <v>145247</v>
      </c>
      <c r="Z121" s="43"/>
      <c r="AA121" s="3"/>
      <c r="AB121" s="3"/>
      <c r="AC121" s="3"/>
      <c r="AD121" s="3"/>
    </row>
    <row r="122" spans="1:30" ht="19.5" customHeight="1" x14ac:dyDescent="0.35">
      <c r="A122" s="31" t="s">
        <v>100</v>
      </c>
      <c r="B122" s="45"/>
      <c r="C122" s="32"/>
      <c r="D122" s="96" t="e">
        <f t="shared" ref="D122:J122" si="41">+D121+D98+D85+D80+D72</f>
        <v>#REF!</v>
      </c>
      <c r="E122" s="96" t="e">
        <f t="shared" si="41"/>
        <v>#REF!</v>
      </c>
      <c r="F122" s="65">
        <f t="shared" si="41"/>
        <v>5916497.1547800004</v>
      </c>
      <c r="G122" s="65">
        <f t="shared" si="41"/>
        <v>6919419.8362631639</v>
      </c>
      <c r="H122" s="65">
        <f t="shared" si="41"/>
        <v>6919419.8385260347</v>
      </c>
      <c r="I122" s="65">
        <f t="shared" si="41"/>
        <v>5050787.51</v>
      </c>
      <c r="J122" s="65">
        <f t="shared" si="41"/>
        <v>1868632.328526034</v>
      </c>
      <c r="K122" s="91"/>
      <c r="L122" s="91">
        <f>+L121+L98+L85+L80+L72</f>
        <v>7034814.6513510589</v>
      </c>
      <c r="M122" s="91">
        <f>+M121+M98+M85+M80+M72</f>
        <v>7601845.6513510589</v>
      </c>
      <c r="N122" s="48">
        <f>+M122-L122</f>
        <v>567031</v>
      </c>
      <c r="O122" s="91">
        <f t="shared" ref="O122:X122" si="42">+O121+O98+O85+O80+O72</f>
        <v>6709814.6513510589</v>
      </c>
      <c r="P122" s="91">
        <f t="shared" si="42"/>
        <v>404033</v>
      </c>
      <c r="Q122" s="91">
        <f t="shared" si="42"/>
        <v>7144647.6513510589</v>
      </c>
      <c r="R122" s="91">
        <f t="shared" si="42"/>
        <v>6823433.0687400158</v>
      </c>
      <c r="S122" s="91"/>
      <c r="T122" s="91"/>
      <c r="U122" s="91">
        <f t="shared" si="42"/>
        <v>7120365.043279456</v>
      </c>
      <c r="V122" s="91"/>
      <c r="W122" s="91">
        <f t="shared" si="42"/>
        <v>7250566.7198398411</v>
      </c>
      <c r="X122" s="91">
        <f t="shared" si="42"/>
        <v>7384674.4514350351</v>
      </c>
      <c r="Y122" s="128">
        <f>+Y121+Y98+Y85+Y80+Y72</f>
        <v>7522805.414978086</v>
      </c>
      <c r="Z122" s="43"/>
      <c r="AA122" s="3"/>
      <c r="AB122" s="93"/>
      <c r="AC122" s="3"/>
      <c r="AD122" s="3"/>
    </row>
    <row r="123" spans="1:30" ht="19.5" customHeight="1" x14ac:dyDescent="0.35">
      <c r="A123" s="31"/>
      <c r="B123" s="45"/>
      <c r="C123" s="32" t="s">
        <v>101</v>
      </c>
      <c r="D123" s="63">
        <f>(D29+D49)*0.09</f>
        <v>334035.13639564463</v>
      </c>
      <c r="E123" s="63">
        <f>(E29+E49)*0.09</f>
        <v>334035.13639564463</v>
      </c>
      <c r="F123" s="97">
        <v>269227</v>
      </c>
      <c r="G123" s="97">
        <f>(G29+G49)*0.09</f>
        <v>346184.44526368473</v>
      </c>
      <c r="H123" s="97">
        <v>346184.44526368473</v>
      </c>
      <c r="I123" s="97">
        <v>231840.51</v>
      </c>
      <c r="J123" s="47">
        <f>+H123-I123</f>
        <v>114343.93526368472</v>
      </c>
      <c r="K123" s="47"/>
      <c r="L123" s="98">
        <f>(L29+L49)*0.09</f>
        <v>356569.97862159531</v>
      </c>
      <c r="M123" s="99">
        <v>356570</v>
      </c>
      <c r="N123" s="48">
        <f>+M123-L123</f>
        <v>2.1378404693678021E-2</v>
      </c>
      <c r="O123" s="98">
        <v>356570</v>
      </c>
      <c r="P123" s="98"/>
      <c r="Q123" s="98">
        <v>356570</v>
      </c>
      <c r="R123" s="98">
        <f>(R29+R49)*0.09</f>
        <v>366795.63618660136</v>
      </c>
      <c r="S123" s="98"/>
      <c r="T123" s="98"/>
      <c r="U123" s="98">
        <f>(U29+U49)*0.09</f>
        <v>390605.043895151</v>
      </c>
      <c r="V123" s="98"/>
      <c r="W123" s="98">
        <f>(W29+W49)*0.09</f>
        <v>402323.19478558569</v>
      </c>
      <c r="X123" s="98">
        <f>(X29+X49)*0.09</f>
        <v>414392.89062915312</v>
      </c>
      <c r="Y123" s="132">
        <f>(Y29+Y49)*0.09</f>
        <v>426824.6773480277</v>
      </c>
      <c r="Z123" s="43" t="s">
        <v>102</v>
      </c>
      <c r="AA123" s="3"/>
      <c r="AB123" s="3"/>
      <c r="AC123" s="3"/>
      <c r="AD123" s="3"/>
    </row>
    <row r="124" spans="1:30" ht="19.5" customHeight="1" x14ac:dyDescent="0.35">
      <c r="A124" s="58" t="s">
        <v>103</v>
      </c>
      <c r="B124" s="60"/>
      <c r="C124" s="32"/>
      <c r="D124" s="100" t="e">
        <f t="shared" ref="D124:X124" si="43">+D122+D123</f>
        <v>#REF!</v>
      </c>
      <c r="E124" s="100" t="e">
        <f t="shared" si="43"/>
        <v>#REF!</v>
      </c>
      <c r="F124" s="67">
        <f t="shared" si="43"/>
        <v>6185724.1547800004</v>
      </c>
      <c r="G124" s="67">
        <f t="shared" si="43"/>
        <v>7265604.2815268487</v>
      </c>
      <c r="H124" s="67">
        <f t="shared" si="43"/>
        <v>7265604.2837897195</v>
      </c>
      <c r="I124" s="67">
        <f t="shared" si="43"/>
        <v>5282628.0199999996</v>
      </c>
      <c r="J124" s="67">
        <f t="shared" si="43"/>
        <v>1982976.2637897187</v>
      </c>
      <c r="K124" s="78"/>
      <c r="L124" s="78">
        <f>+L122+L123</f>
        <v>7391384.6299726544</v>
      </c>
      <c r="M124" s="78">
        <f t="shared" si="43"/>
        <v>7958415.6513510589</v>
      </c>
      <c r="N124" s="78">
        <f t="shared" si="43"/>
        <v>567031.02137840469</v>
      </c>
      <c r="O124" s="78">
        <f t="shared" si="43"/>
        <v>7066384.6513510589</v>
      </c>
      <c r="P124" s="78">
        <f t="shared" si="43"/>
        <v>404033</v>
      </c>
      <c r="Q124" s="78">
        <f t="shared" si="43"/>
        <v>7501217.6513510589</v>
      </c>
      <c r="R124" s="78">
        <f t="shared" si="43"/>
        <v>7190228.7049266174</v>
      </c>
      <c r="S124" s="78"/>
      <c r="T124" s="78"/>
      <c r="U124" s="78">
        <f t="shared" si="43"/>
        <v>7510970.0871746074</v>
      </c>
      <c r="V124" s="78"/>
      <c r="W124" s="78">
        <f t="shared" si="43"/>
        <v>7652889.9146254268</v>
      </c>
      <c r="X124" s="78">
        <f t="shared" si="43"/>
        <v>7799067.3420641879</v>
      </c>
      <c r="Y124" s="125">
        <f>+Y122+Y123</f>
        <v>7949630.092326114</v>
      </c>
      <c r="Z124" s="43"/>
      <c r="AA124" s="3"/>
      <c r="AB124" s="3"/>
      <c r="AC124" s="3"/>
      <c r="AD124" s="3"/>
    </row>
    <row r="125" spans="1:30" ht="19.5" customHeight="1" x14ac:dyDescent="0.35">
      <c r="A125" s="58"/>
      <c r="B125" s="60" t="s">
        <v>104</v>
      </c>
      <c r="C125" s="32"/>
      <c r="D125" s="67">
        <v>6818462.6519028069</v>
      </c>
      <c r="E125" s="67">
        <v>6818462.6519028069</v>
      </c>
      <c r="F125" s="67"/>
      <c r="G125" s="67">
        <v>6940604.2815268487</v>
      </c>
      <c r="H125" s="67">
        <v>6940604.2815268487</v>
      </c>
      <c r="I125" s="67">
        <v>6940604.2815268487</v>
      </c>
      <c r="J125" s="67">
        <v>6940604.2815268487</v>
      </c>
      <c r="K125" s="78"/>
      <c r="L125" s="78">
        <v>7126384.6299726544</v>
      </c>
      <c r="M125" s="78">
        <v>7126384.6299726544</v>
      </c>
      <c r="N125" s="78">
        <v>7126384.6299726544</v>
      </c>
      <c r="O125" s="78">
        <v>7126384.6299726544</v>
      </c>
      <c r="P125" s="78"/>
      <c r="Q125" s="78">
        <v>7126384.6299726544</v>
      </c>
      <c r="R125" s="78">
        <v>7190228.7049266174</v>
      </c>
      <c r="S125" s="78"/>
      <c r="T125" s="78"/>
      <c r="U125" s="78">
        <v>7510970</v>
      </c>
      <c r="V125" s="78"/>
      <c r="W125" s="78">
        <v>7652890</v>
      </c>
      <c r="X125" s="78">
        <v>7799067</v>
      </c>
      <c r="Y125" s="125">
        <v>0</v>
      </c>
      <c r="Z125" s="43"/>
      <c r="AA125" s="3"/>
      <c r="AB125" s="3"/>
      <c r="AC125" s="3"/>
      <c r="AD125" s="3"/>
    </row>
    <row r="126" spans="1:30" ht="19.5" customHeight="1" x14ac:dyDescent="0.35">
      <c r="A126" s="58"/>
      <c r="B126" s="60" t="s">
        <v>105</v>
      </c>
      <c r="C126" s="60"/>
      <c r="D126" s="101" t="e">
        <f t="shared" ref="D126:M126" si="44">+D124-D125</f>
        <v>#REF!</v>
      </c>
      <c r="E126" s="101" t="e">
        <f t="shared" si="44"/>
        <v>#REF!</v>
      </c>
      <c r="F126" s="101"/>
      <c r="G126" s="101">
        <f t="shared" si="44"/>
        <v>325000</v>
      </c>
      <c r="H126" s="101">
        <f t="shared" si="44"/>
        <v>325000.00226287078</v>
      </c>
      <c r="I126" s="102">
        <f>+I124-I125</f>
        <v>-1657976.2615268491</v>
      </c>
      <c r="J126" s="102">
        <f>+J124-J125</f>
        <v>-4957628.0177371297</v>
      </c>
      <c r="K126" s="102">
        <f>SUM(K72:K125)</f>
        <v>567031.28</v>
      </c>
      <c r="L126" s="102">
        <f>+L124-L125</f>
        <v>265000</v>
      </c>
      <c r="M126" s="102">
        <f t="shared" si="44"/>
        <v>832031.02137840446</v>
      </c>
      <c r="N126" s="102"/>
      <c r="O126" s="102">
        <f>+O124-O125</f>
        <v>-59999.978621595539</v>
      </c>
      <c r="P126" s="102">
        <f>+P124-P125</f>
        <v>404033</v>
      </c>
      <c r="Q126" s="102">
        <f>+Q124-Q125</f>
        <v>374833.02137840446</v>
      </c>
      <c r="R126" s="102">
        <f>+R124-R125</f>
        <v>0</v>
      </c>
      <c r="S126" s="102"/>
      <c r="T126" s="102"/>
      <c r="U126" s="102">
        <f>+U124-U125</f>
        <v>8.7174607440829277E-2</v>
      </c>
      <c r="V126" s="102"/>
      <c r="W126" s="102">
        <f>+W124-W125</f>
        <v>-8.5374573245644569E-2</v>
      </c>
      <c r="X126" s="102">
        <f>+X124-X125</f>
        <v>0.34206418786197901</v>
      </c>
      <c r="Y126" s="133">
        <f>+Y124-Y125</f>
        <v>7949630.092326114</v>
      </c>
      <c r="Z126" s="119"/>
      <c r="AA126" s="3"/>
      <c r="AB126" s="3"/>
      <c r="AC126" s="3"/>
      <c r="AD126" s="3"/>
    </row>
    <row r="127" spans="1:30" s="76" customFormat="1" ht="22.5" customHeight="1" x14ac:dyDescent="0.35">
      <c r="A127" s="161" t="s">
        <v>116</v>
      </c>
      <c r="B127" s="161"/>
      <c r="C127" s="161"/>
      <c r="D127" s="161"/>
      <c r="E127" s="161"/>
      <c r="F127" s="161"/>
      <c r="G127" s="161"/>
      <c r="H127" s="161"/>
      <c r="I127" s="161"/>
      <c r="J127" s="161"/>
      <c r="K127" s="161"/>
      <c r="L127" s="161"/>
      <c r="M127" s="161"/>
      <c r="N127" s="161"/>
      <c r="O127" s="161"/>
      <c r="P127" s="161"/>
      <c r="Q127" s="161"/>
      <c r="R127" s="161"/>
      <c r="S127" s="161"/>
      <c r="T127" s="161"/>
      <c r="U127" s="161"/>
      <c r="V127" s="161"/>
      <c r="W127" s="161"/>
      <c r="X127" s="161"/>
      <c r="Y127" s="161"/>
      <c r="Z127" s="161"/>
      <c r="AA127" s="105"/>
      <c r="AB127" s="105"/>
      <c r="AC127" s="105"/>
      <c r="AD127" s="105"/>
    </row>
    <row r="128" spans="1:30" s="76" customFormat="1" ht="19.5" customHeight="1" x14ac:dyDescent="0.35">
      <c r="A128" s="103"/>
      <c r="B128" s="104"/>
      <c r="C128" s="104"/>
      <c r="D128" s="106"/>
      <c r="E128" s="106"/>
      <c r="F128" s="106"/>
      <c r="G128" s="106"/>
      <c r="H128" s="106"/>
      <c r="I128" s="107"/>
      <c r="J128" s="107"/>
      <c r="K128" s="107"/>
      <c r="L128" s="106"/>
      <c r="M128" s="107"/>
      <c r="N128" s="106"/>
      <c r="O128" s="106"/>
      <c r="P128" s="106"/>
      <c r="Q128" s="106"/>
      <c r="R128" s="106"/>
      <c r="S128" s="106"/>
      <c r="T128" s="106"/>
      <c r="U128" s="106"/>
      <c r="V128" s="106"/>
      <c r="W128" s="106"/>
      <c r="X128" s="106"/>
      <c r="Y128" s="106"/>
      <c r="Z128" s="108"/>
      <c r="AA128" s="105"/>
      <c r="AB128" s="105"/>
      <c r="AC128" s="105"/>
      <c r="AD128" s="105"/>
    </row>
    <row r="129" spans="1:30" s="76" customFormat="1" ht="19.5" customHeight="1" x14ac:dyDescent="0.4">
      <c r="A129" s="103"/>
      <c r="B129" s="104"/>
      <c r="C129" s="104"/>
      <c r="D129" s="106"/>
      <c r="E129" s="106"/>
      <c r="F129" s="106"/>
      <c r="G129" s="106"/>
      <c r="H129" s="106"/>
      <c r="I129" s="107"/>
      <c r="J129" s="107"/>
      <c r="K129" s="107"/>
      <c r="L129" s="106"/>
      <c r="M129" s="107"/>
      <c r="N129" s="106"/>
      <c r="O129" s="106"/>
      <c r="P129" s="106"/>
      <c r="Q129" s="106"/>
      <c r="R129" s="106"/>
      <c r="S129" s="106"/>
      <c r="T129" s="106"/>
      <c r="U129" s="106"/>
      <c r="V129" s="7" t="s">
        <v>108</v>
      </c>
      <c r="W129" s="106"/>
      <c r="X129" s="106"/>
      <c r="Y129" s="106"/>
      <c r="Z129" s="7"/>
      <c r="AA129" s="105"/>
      <c r="AB129" s="105"/>
      <c r="AC129" s="105"/>
      <c r="AD129" s="105"/>
    </row>
    <row r="130" spans="1:30" s="76" customFormat="1" ht="21" x14ac:dyDescent="0.4">
      <c r="A130" s="103"/>
      <c r="B130" s="104"/>
      <c r="C130" s="104"/>
      <c r="D130" s="106"/>
      <c r="E130" s="106"/>
      <c r="F130" s="106"/>
      <c r="G130" s="106"/>
      <c r="H130" s="106"/>
      <c r="I130" s="107"/>
      <c r="J130" s="107"/>
      <c r="K130" s="107"/>
      <c r="L130" s="106"/>
      <c r="M130" s="107"/>
      <c r="N130" s="106"/>
      <c r="O130" s="106"/>
      <c r="P130" s="106"/>
      <c r="Q130" s="106"/>
      <c r="R130" s="106"/>
      <c r="S130" s="106"/>
      <c r="T130" s="106"/>
      <c r="U130" s="106"/>
      <c r="V130" s="12"/>
      <c r="W130" s="106"/>
      <c r="X130" s="106"/>
      <c r="Y130" s="106"/>
      <c r="Z130" s="12"/>
      <c r="AA130" s="105"/>
      <c r="AB130" s="105"/>
      <c r="AC130" s="105"/>
      <c r="AD130" s="105"/>
    </row>
    <row r="131" spans="1:30" ht="21" x14ac:dyDescent="0.35">
      <c r="A131" s="103"/>
      <c r="B131" s="104"/>
      <c r="C131" s="104"/>
      <c r="D131" s="106"/>
      <c r="E131" s="106"/>
      <c r="F131" s="106"/>
      <c r="G131" s="106"/>
      <c r="H131" s="106"/>
      <c r="I131" s="107"/>
      <c r="J131" s="107"/>
      <c r="K131" s="107"/>
      <c r="L131" s="106"/>
      <c r="M131" s="107"/>
      <c r="N131" s="106"/>
      <c r="O131" s="106"/>
      <c r="P131" s="106"/>
      <c r="Q131" s="106"/>
      <c r="R131" s="106"/>
      <c r="S131" s="106"/>
      <c r="T131" s="106"/>
      <c r="U131" s="106"/>
      <c r="V131" s="13"/>
      <c r="W131" s="107"/>
      <c r="X131" s="107"/>
      <c r="Y131" s="107"/>
      <c r="Z131" s="13"/>
      <c r="AA131" s="86"/>
      <c r="AB131" s="86"/>
      <c r="AC131" s="3"/>
      <c r="AD131" s="3"/>
    </row>
    <row r="132" spans="1:30" x14ac:dyDescent="0.35">
      <c r="A132" s="103"/>
      <c r="B132" s="109"/>
      <c r="C132" s="109"/>
      <c r="D132" s="107"/>
      <c r="E132" s="107"/>
      <c r="F132" s="107"/>
      <c r="G132" s="107"/>
      <c r="H132" s="107"/>
      <c r="I132" s="107"/>
      <c r="J132" s="107"/>
      <c r="K132" s="107"/>
      <c r="L132" s="107"/>
      <c r="M132" s="107"/>
      <c r="N132" s="106"/>
      <c r="O132" s="106"/>
      <c r="P132" s="106"/>
      <c r="Q132" s="106"/>
      <c r="R132" s="107"/>
      <c r="S132" s="107"/>
      <c r="T132" s="107"/>
      <c r="U132" s="107"/>
      <c r="V132" s="86"/>
    </row>
    <row r="133" spans="1:30" ht="20.399999999999999" x14ac:dyDescent="0.35">
      <c r="A133" s="160"/>
      <c r="B133" s="160"/>
      <c r="C133" s="160"/>
      <c r="D133" s="160"/>
      <c r="E133" s="160"/>
      <c r="F133" s="160"/>
      <c r="G133" s="160"/>
      <c r="H133" s="160"/>
      <c r="I133" s="160"/>
      <c r="J133" s="160"/>
      <c r="K133" s="160"/>
      <c r="L133" s="160"/>
      <c r="M133" s="160"/>
      <c r="N133" s="160"/>
      <c r="O133" s="160"/>
      <c r="P133" s="160"/>
      <c r="Q133" s="160"/>
      <c r="R133" s="160"/>
      <c r="S133" s="160"/>
      <c r="T133" s="160"/>
      <c r="U133" s="160"/>
      <c r="V133" s="160"/>
      <c r="W133" s="160"/>
      <c r="X133" s="160"/>
      <c r="Y133" s="160"/>
      <c r="Z133" s="160"/>
    </row>
    <row r="134" spans="1:30" ht="21" x14ac:dyDescent="0.4">
      <c r="A134" s="120"/>
      <c r="B134" s="120"/>
      <c r="C134" s="120"/>
      <c r="D134" s="120"/>
      <c r="E134" s="120"/>
      <c r="F134" s="120"/>
      <c r="G134" s="120"/>
      <c r="H134" s="120"/>
      <c r="I134" s="120"/>
      <c r="J134" s="120"/>
      <c r="K134" s="120"/>
      <c r="L134" s="120"/>
      <c r="M134" s="120"/>
      <c r="N134" s="120"/>
      <c r="O134" s="120"/>
      <c r="P134" s="120"/>
      <c r="Q134" s="120"/>
      <c r="R134" s="120"/>
      <c r="S134" s="120"/>
      <c r="T134" s="120"/>
      <c r="U134" s="120"/>
      <c r="V134" s="120"/>
    </row>
    <row r="135" spans="1:30" s="3" customFormat="1" x14ac:dyDescent="0.35">
      <c r="A135" s="103"/>
      <c r="B135" s="134"/>
      <c r="C135" s="134"/>
      <c r="N135" s="105"/>
      <c r="O135" s="105"/>
      <c r="P135" s="105"/>
      <c r="Q135" s="105"/>
      <c r="U135" s="135"/>
      <c r="V135" s="135"/>
      <c r="W135" s="135"/>
      <c r="X135" s="135"/>
      <c r="Y135" s="135"/>
      <c r="Z135" s="135"/>
    </row>
    <row r="136" spans="1:30" s="3" customFormat="1" x14ac:dyDescent="0.35">
      <c r="A136" s="103"/>
      <c r="B136" s="134"/>
      <c r="C136" s="134"/>
      <c r="N136" s="105"/>
      <c r="O136" s="105"/>
      <c r="P136" s="105"/>
      <c r="Q136" s="105"/>
      <c r="U136" s="135"/>
      <c r="V136" s="135"/>
      <c r="W136" s="135"/>
      <c r="X136" s="135"/>
      <c r="Y136" s="135"/>
      <c r="Z136" s="134"/>
    </row>
    <row r="137" spans="1:30" s="3" customFormat="1" x14ac:dyDescent="0.35">
      <c r="A137" s="136"/>
      <c r="B137" s="137"/>
      <c r="N137" s="105"/>
      <c r="O137" s="105"/>
      <c r="P137" s="105"/>
      <c r="Q137" s="105"/>
    </row>
    <row r="138" spans="1:30" s="3" customFormat="1" ht="39.9" customHeight="1" x14ac:dyDescent="0.35">
      <c r="A138" s="137"/>
      <c r="B138" s="138"/>
      <c r="C138" s="139"/>
      <c r="N138" s="105"/>
      <c r="O138" s="105"/>
      <c r="P138" s="105"/>
      <c r="Q138" s="105"/>
      <c r="U138" s="83"/>
    </row>
    <row r="139" spans="1:30" s="3" customFormat="1" ht="39.9" customHeight="1" x14ac:dyDescent="0.35">
      <c r="A139" s="140"/>
      <c r="B139" s="141"/>
      <c r="C139" s="139"/>
      <c r="N139" s="105"/>
      <c r="O139" s="105"/>
      <c r="P139" s="105"/>
      <c r="Q139" s="105"/>
      <c r="U139" s="83"/>
    </row>
    <row r="140" spans="1:30" s="3" customFormat="1" ht="39.9" customHeight="1" x14ac:dyDescent="0.35">
      <c r="A140" s="140"/>
      <c r="B140" s="141"/>
      <c r="C140" s="142"/>
      <c r="N140" s="105"/>
      <c r="O140" s="105"/>
      <c r="P140" s="105"/>
      <c r="Q140" s="105"/>
      <c r="U140" s="83"/>
    </row>
    <row r="141" spans="1:30" s="3" customFormat="1" x14ac:dyDescent="0.35">
      <c r="A141" s="140"/>
      <c r="C141" s="140"/>
      <c r="N141" s="105"/>
      <c r="O141" s="105"/>
      <c r="P141" s="105"/>
      <c r="Q141" s="105"/>
      <c r="U141" s="83"/>
    </row>
    <row r="142" spans="1:30" s="3" customFormat="1" x14ac:dyDescent="0.35">
      <c r="A142" s="140"/>
      <c r="B142" s="141"/>
      <c r="C142" s="140"/>
      <c r="N142" s="105"/>
      <c r="O142" s="105"/>
      <c r="P142" s="105"/>
      <c r="Q142" s="105"/>
      <c r="U142" s="83"/>
    </row>
    <row r="143" spans="1:30" s="3" customFormat="1" x14ac:dyDescent="0.35">
      <c r="A143" s="140"/>
      <c r="B143" s="143"/>
      <c r="C143" s="140"/>
      <c r="N143" s="105"/>
      <c r="O143" s="105"/>
      <c r="P143" s="105"/>
      <c r="Q143" s="105"/>
      <c r="U143" s="83"/>
    </row>
    <row r="144" spans="1:30" s="3" customFormat="1" x14ac:dyDescent="0.35">
      <c r="A144" s="140"/>
      <c r="C144" s="140"/>
      <c r="N144" s="105"/>
      <c r="O144" s="105"/>
      <c r="P144" s="105"/>
      <c r="Q144" s="105"/>
      <c r="U144" s="83"/>
    </row>
    <row r="145" spans="1:21" s="3" customFormat="1" x14ac:dyDescent="0.35">
      <c r="A145" s="140"/>
      <c r="B145" s="141"/>
      <c r="C145" s="140"/>
      <c r="N145" s="105"/>
      <c r="O145" s="105"/>
      <c r="P145" s="105"/>
      <c r="Q145" s="105"/>
      <c r="U145" s="83"/>
    </row>
    <row r="146" spans="1:21" s="3" customFormat="1" x14ac:dyDescent="0.35">
      <c r="A146" s="140"/>
      <c r="C146" s="140"/>
      <c r="N146" s="105"/>
      <c r="O146" s="105"/>
      <c r="P146" s="105"/>
      <c r="Q146" s="105"/>
      <c r="U146" s="83"/>
    </row>
    <row r="147" spans="1:21" s="3" customFormat="1" x14ac:dyDescent="0.35">
      <c r="A147" s="140"/>
      <c r="N147" s="105"/>
      <c r="O147" s="105"/>
      <c r="P147" s="105"/>
      <c r="Q147" s="105"/>
    </row>
    <row r="149" spans="1:21" x14ac:dyDescent="0.35">
      <c r="S149" s="110"/>
    </row>
    <row r="150" spans="1:21" x14ac:dyDescent="0.35">
      <c r="S150" s="110"/>
    </row>
    <row r="151" spans="1:21" x14ac:dyDescent="0.35">
      <c r="S151" s="110"/>
    </row>
    <row r="152" spans="1:21" x14ac:dyDescent="0.35">
      <c r="S152" s="110"/>
    </row>
    <row r="153" spans="1:21" x14ac:dyDescent="0.35">
      <c r="S153" s="110"/>
    </row>
    <row r="154" spans="1:21" x14ac:dyDescent="0.35">
      <c r="S154" s="110"/>
    </row>
    <row r="155" spans="1:21" x14ac:dyDescent="0.35">
      <c r="S155" s="110"/>
    </row>
    <row r="183" spans="19:19" x14ac:dyDescent="0.35">
      <c r="S183" s="110"/>
    </row>
    <row r="184" spans="19:19" x14ac:dyDescent="0.35">
      <c r="S184" s="110"/>
    </row>
    <row r="186" spans="19:19" x14ac:dyDescent="0.35">
      <c r="S186" s="110"/>
    </row>
    <row r="187" spans="19:19" x14ac:dyDescent="0.35">
      <c r="S187" s="110"/>
    </row>
    <row r="272" spans="18:25" x14ac:dyDescent="0.35">
      <c r="R272" s="3"/>
      <c r="S272" s="3"/>
      <c r="T272" s="3"/>
      <c r="U272" s="3"/>
      <c r="V272" s="3"/>
      <c r="W272" s="3"/>
      <c r="X272" s="3"/>
      <c r="Y272" s="3"/>
    </row>
    <row r="273" spans="18:25" x14ac:dyDescent="0.35">
      <c r="R273" s="3"/>
      <c r="S273" s="3"/>
      <c r="T273" s="3"/>
      <c r="U273" s="3"/>
      <c r="V273" s="3"/>
      <c r="W273" s="3"/>
      <c r="X273" s="3"/>
      <c r="Y273" s="3"/>
    </row>
    <row r="274" spans="18:25" x14ac:dyDescent="0.35">
      <c r="R274" s="3"/>
      <c r="S274" s="111"/>
      <c r="T274" s="3"/>
      <c r="U274" s="3"/>
      <c r="V274" s="3"/>
      <c r="W274" s="3"/>
      <c r="X274" s="3"/>
      <c r="Y274" s="3"/>
    </row>
    <row r="275" spans="18:25" x14ac:dyDescent="0.35">
      <c r="R275" s="3"/>
      <c r="S275" s="111"/>
      <c r="T275" s="3"/>
      <c r="U275" s="3"/>
      <c r="V275" s="3"/>
      <c r="W275" s="3"/>
      <c r="X275" s="3"/>
      <c r="Y275" s="3"/>
    </row>
    <row r="276" spans="18:25" x14ac:dyDescent="0.35">
      <c r="R276" s="3"/>
      <c r="S276" s="111"/>
      <c r="T276" s="3"/>
      <c r="U276" s="3"/>
      <c r="V276" s="3"/>
      <c r="W276" s="3"/>
      <c r="X276" s="3"/>
      <c r="Y276" s="3"/>
    </row>
    <row r="277" spans="18:25" x14ac:dyDescent="0.35">
      <c r="R277" s="3"/>
      <c r="S277" s="3"/>
      <c r="T277" s="3"/>
      <c r="U277" s="3"/>
      <c r="V277" s="3"/>
      <c r="W277" s="3"/>
      <c r="X277" s="3"/>
      <c r="Y277" s="3"/>
    </row>
    <row r="278" spans="18:25" x14ac:dyDescent="0.35">
      <c r="R278" s="3"/>
      <c r="S278" s="3"/>
      <c r="T278" s="3"/>
      <c r="U278" s="3"/>
      <c r="V278" s="3"/>
      <c r="W278" s="3"/>
      <c r="X278" s="3"/>
      <c r="Y278" s="3"/>
    </row>
    <row r="279" spans="18:25" x14ac:dyDescent="0.35">
      <c r="R279" s="3"/>
      <c r="S279" s="3"/>
      <c r="T279" s="3"/>
      <c r="U279" s="3"/>
      <c r="V279" s="3"/>
      <c r="W279" s="3"/>
      <c r="X279" s="3"/>
      <c r="Y279" s="3"/>
    </row>
    <row r="280" spans="18:25" x14ac:dyDescent="0.35">
      <c r="R280" s="3"/>
      <c r="S280" s="3"/>
      <c r="T280" s="3"/>
      <c r="U280" s="3"/>
      <c r="V280" s="3"/>
      <c r="W280" s="3"/>
      <c r="X280" s="3"/>
      <c r="Y280" s="3"/>
    </row>
    <row r="281" spans="18:25" x14ac:dyDescent="0.35">
      <c r="R281" s="3"/>
      <c r="S281" s="111"/>
      <c r="T281" s="3"/>
      <c r="U281" s="3"/>
      <c r="V281" s="3"/>
      <c r="W281" s="3"/>
      <c r="X281" s="3"/>
      <c r="Y281" s="3"/>
    </row>
    <row r="282" spans="18:25" x14ac:dyDescent="0.35">
      <c r="R282" s="3"/>
      <c r="S282" s="111"/>
      <c r="T282" s="3"/>
      <c r="U282" s="3"/>
      <c r="V282" s="3"/>
      <c r="W282" s="3"/>
      <c r="X282" s="3"/>
      <c r="Y282" s="3"/>
    </row>
    <row r="283" spans="18:25" x14ac:dyDescent="0.35">
      <c r="R283" s="3"/>
      <c r="S283" s="3"/>
      <c r="T283" s="3"/>
      <c r="U283" s="3"/>
      <c r="V283" s="3"/>
      <c r="W283" s="3"/>
      <c r="X283" s="3"/>
      <c r="Y283" s="3"/>
    </row>
    <row r="284" spans="18:25" x14ac:dyDescent="0.35">
      <c r="R284" s="3"/>
      <c r="S284" s="3"/>
      <c r="T284" s="3"/>
      <c r="U284" s="3"/>
      <c r="V284" s="3"/>
      <c r="W284" s="3"/>
      <c r="X284" s="3"/>
      <c r="Y284" s="3"/>
    </row>
    <row r="285" spans="18:25" x14ac:dyDescent="0.35">
      <c r="R285" s="3"/>
      <c r="S285" s="3"/>
      <c r="T285" s="3"/>
      <c r="U285" s="3"/>
      <c r="V285" s="3"/>
      <c r="W285" s="3"/>
      <c r="X285" s="3"/>
      <c r="Y285" s="3"/>
    </row>
    <row r="286" spans="18:25" x14ac:dyDescent="0.35">
      <c r="R286" s="3"/>
      <c r="S286" s="3"/>
      <c r="T286" s="3"/>
      <c r="U286" s="3"/>
      <c r="V286" s="3"/>
      <c r="W286" s="3"/>
      <c r="X286" s="3"/>
      <c r="Y286" s="3"/>
    </row>
    <row r="287" spans="18:25" x14ac:dyDescent="0.35">
      <c r="R287" s="3"/>
      <c r="S287" s="3"/>
      <c r="T287" s="3"/>
      <c r="U287" s="3"/>
      <c r="V287" s="3"/>
      <c r="W287" s="3"/>
      <c r="X287" s="3"/>
      <c r="Y287" s="3"/>
    </row>
    <row r="288" spans="18:25" x14ac:dyDescent="0.35">
      <c r="R288" s="3"/>
      <c r="S288" s="3"/>
      <c r="T288" s="3"/>
      <c r="U288" s="3"/>
      <c r="V288" s="3"/>
      <c r="W288" s="3"/>
      <c r="X288" s="3"/>
      <c r="Y288" s="3"/>
    </row>
    <row r="289" spans="18:25" x14ac:dyDescent="0.35">
      <c r="R289" s="3"/>
      <c r="S289" s="3"/>
      <c r="T289" s="3"/>
      <c r="U289" s="3"/>
      <c r="V289" s="3"/>
      <c r="W289" s="3"/>
      <c r="X289" s="3"/>
      <c r="Y289" s="3"/>
    </row>
    <row r="290" spans="18:25" x14ac:dyDescent="0.35">
      <c r="R290" s="3"/>
      <c r="S290" s="3"/>
      <c r="T290" s="3"/>
      <c r="U290" s="3"/>
      <c r="V290" s="3"/>
      <c r="W290" s="3"/>
      <c r="X290" s="3"/>
      <c r="Y290" s="3"/>
    </row>
    <row r="291" spans="18:25" x14ac:dyDescent="0.35">
      <c r="R291" s="3"/>
      <c r="S291" s="3"/>
      <c r="T291" s="3"/>
      <c r="U291" s="3"/>
      <c r="V291" s="3"/>
      <c r="W291" s="3"/>
      <c r="X291" s="3"/>
      <c r="Y291" s="3"/>
    </row>
    <row r="292" spans="18:25" x14ac:dyDescent="0.35">
      <c r="R292" s="3"/>
      <c r="S292" s="3"/>
      <c r="T292" s="3"/>
      <c r="U292" s="3"/>
      <c r="V292" s="3"/>
      <c r="W292" s="3"/>
      <c r="X292" s="3"/>
      <c r="Y292" s="3"/>
    </row>
    <row r="293" spans="18:25" x14ac:dyDescent="0.35">
      <c r="R293" s="3"/>
      <c r="S293" s="3"/>
      <c r="T293" s="3"/>
      <c r="U293" s="3"/>
      <c r="V293" s="3"/>
      <c r="W293" s="3"/>
      <c r="X293" s="3"/>
      <c r="Y293" s="3"/>
    </row>
    <row r="294" spans="18:25" x14ac:dyDescent="0.35">
      <c r="R294" s="3"/>
      <c r="S294" s="3"/>
      <c r="T294" s="3"/>
      <c r="U294" s="3"/>
      <c r="V294" s="3"/>
      <c r="W294" s="3"/>
      <c r="X294" s="3"/>
      <c r="Y294" s="3"/>
    </row>
    <row r="295" spans="18:25" x14ac:dyDescent="0.35">
      <c r="R295" s="3"/>
      <c r="S295" s="3"/>
      <c r="T295" s="3"/>
      <c r="U295" s="3"/>
      <c r="V295" s="3"/>
      <c r="W295" s="3"/>
      <c r="X295" s="3"/>
      <c r="Y295" s="3"/>
    </row>
    <row r="296" spans="18:25" x14ac:dyDescent="0.35">
      <c r="R296" s="3"/>
      <c r="S296" s="3"/>
      <c r="T296" s="3"/>
      <c r="U296" s="3"/>
      <c r="V296" s="3"/>
      <c r="W296" s="3"/>
      <c r="X296" s="3"/>
      <c r="Y296" s="3"/>
    </row>
    <row r="297" spans="18:25" x14ac:dyDescent="0.35">
      <c r="R297" s="3"/>
      <c r="S297" s="3"/>
      <c r="T297" s="3"/>
      <c r="U297" s="3"/>
      <c r="V297" s="3"/>
      <c r="W297" s="3"/>
      <c r="X297" s="3"/>
      <c r="Y297" s="3"/>
    </row>
    <row r="298" spans="18:25" x14ac:dyDescent="0.35">
      <c r="R298" s="3"/>
      <c r="S298" s="3"/>
      <c r="T298" s="3"/>
      <c r="U298" s="3"/>
      <c r="V298" s="3"/>
      <c r="W298" s="3"/>
      <c r="X298" s="3"/>
      <c r="Y298" s="3"/>
    </row>
    <row r="299" spans="18:25" x14ac:dyDescent="0.35">
      <c r="R299" s="3"/>
      <c r="S299" s="3"/>
      <c r="T299" s="3"/>
      <c r="U299" s="3"/>
      <c r="V299" s="3"/>
      <c r="W299" s="3"/>
      <c r="X299" s="3"/>
      <c r="Y299" s="3"/>
    </row>
    <row r="300" spans="18:25" x14ac:dyDescent="0.35">
      <c r="R300" s="3"/>
      <c r="S300" s="3"/>
      <c r="T300" s="3"/>
      <c r="U300" s="3"/>
      <c r="V300" s="3"/>
      <c r="W300" s="3"/>
      <c r="X300" s="3"/>
      <c r="Y300" s="3"/>
    </row>
    <row r="301" spans="18:25" x14ac:dyDescent="0.35">
      <c r="R301" s="3"/>
      <c r="S301" s="3"/>
      <c r="T301" s="3"/>
      <c r="U301" s="3"/>
      <c r="V301" s="3"/>
      <c r="W301" s="3"/>
      <c r="X301" s="3"/>
      <c r="Y301" s="3"/>
    </row>
    <row r="302" spans="18:25" x14ac:dyDescent="0.35">
      <c r="R302" s="3"/>
      <c r="S302" s="3"/>
      <c r="T302" s="3"/>
      <c r="U302" s="3"/>
      <c r="V302" s="3"/>
      <c r="W302" s="3"/>
      <c r="X302" s="3"/>
      <c r="Y302" s="3"/>
    </row>
    <row r="303" spans="18:25" x14ac:dyDescent="0.35">
      <c r="R303" s="3"/>
      <c r="S303" s="3"/>
      <c r="T303" s="3"/>
      <c r="U303" s="3"/>
      <c r="V303" s="3"/>
      <c r="W303" s="3"/>
      <c r="X303" s="3"/>
      <c r="Y303" s="3"/>
    </row>
    <row r="304" spans="18:25" x14ac:dyDescent="0.35">
      <c r="R304" s="3"/>
      <c r="S304" s="3"/>
      <c r="T304" s="3"/>
      <c r="U304" s="3"/>
      <c r="V304" s="3"/>
      <c r="W304" s="3"/>
      <c r="X304" s="3"/>
      <c r="Y304" s="3"/>
    </row>
    <row r="305" spans="18:25" x14ac:dyDescent="0.35">
      <c r="R305" s="3"/>
      <c r="S305" s="3"/>
      <c r="T305" s="3"/>
      <c r="U305" s="3"/>
      <c r="V305" s="3"/>
      <c r="W305" s="3"/>
      <c r="X305" s="3"/>
      <c r="Y305" s="3"/>
    </row>
    <row r="306" spans="18:25" x14ac:dyDescent="0.35">
      <c r="R306" s="3"/>
      <c r="S306" s="3"/>
      <c r="T306" s="3"/>
      <c r="U306" s="3"/>
      <c r="V306" s="3"/>
      <c r="W306" s="3"/>
      <c r="X306" s="3"/>
      <c r="Y306" s="3"/>
    </row>
    <row r="307" spans="18:25" x14ac:dyDescent="0.35">
      <c r="R307" s="3"/>
      <c r="S307" s="3"/>
      <c r="T307" s="3"/>
      <c r="U307" s="3"/>
      <c r="V307" s="3"/>
      <c r="W307" s="3"/>
      <c r="X307" s="3"/>
      <c r="Y307" s="3"/>
    </row>
    <row r="308" spans="18:25" x14ac:dyDescent="0.35">
      <c r="R308" s="3"/>
      <c r="S308" s="3"/>
      <c r="T308" s="3"/>
      <c r="U308" s="3"/>
      <c r="V308" s="3"/>
      <c r="W308" s="3"/>
      <c r="X308" s="3"/>
      <c r="Y308" s="3"/>
    </row>
    <row r="309" spans="18:25" x14ac:dyDescent="0.35">
      <c r="R309" s="3"/>
      <c r="S309" s="3"/>
      <c r="T309" s="3"/>
      <c r="U309" s="3"/>
      <c r="V309" s="3"/>
      <c r="W309" s="3"/>
      <c r="X309" s="3"/>
      <c r="Y309" s="3"/>
    </row>
    <row r="310" spans="18:25" x14ac:dyDescent="0.35">
      <c r="R310" s="3"/>
      <c r="S310" s="3"/>
      <c r="T310" s="3"/>
      <c r="U310" s="3"/>
      <c r="V310" s="3"/>
      <c r="W310" s="3"/>
      <c r="X310" s="3"/>
      <c r="Y310" s="3"/>
    </row>
    <row r="311" spans="18:25" x14ac:dyDescent="0.35">
      <c r="R311" s="3"/>
      <c r="S311" s="3"/>
      <c r="T311" s="3"/>
      <c r="U311" s="3"/>
      <c r="V311" s="3"/>
      <c r="W311" s="3"/>
      <c r="X311" s="3"/>
      <c r="Y311" s="3"/>
    </row>
    <row r="312" spans="18:25" x14ac:dyDescent="0.35">
      <c r="R312" s="3"/>
      <c r="S312" s="3"/>
      <c r="T312" s="3"/>
      <c r="U312" s="3"/>
      <c r="V312" s="3"/>
      <c r="W312" s="3"/>
      <c r="X312" s="3"/>
      <c r="Y312" s="3"/>
    </row>
    <row r="313" spans="18:25" x14ac:dyDescent="0.35">
      <c r="R313" s="3"/>
      <c r="S313" s="3"/>
      <c r="T313" s="3"/>
      <c r="U313" s="3"/>
      <c r="V313" s="3"/>
      <c r="W313" s="3"/>
      <c r="X313" s="3"/>
      <c r="Y313" s="3"/>
    </row>
    <row r="314" spans="18:25" x14ac:dyDescent="0.35">
      <c r="R314" s="3"/>
      <c r="S314" s="3"/>
      <c r="T314" s="3"/>
      <c r="U314" s="3"/>
      <c r="V314" s="3"/>
      <c r="W314" s="3"/>
      <c r="X314" s="3"/>
      <c r="Y314" s="3"/>
    </row>
    <row r="315" spans="18:25" x14ac:dyDescent="0.35">
      <c r="R315" s="3"/>
      <c r="S315" s="3"/>
      <c r="T315" s="3"/>
      <c r="U315" s="3"/>
      <c r="V315" s="3"/>
      <c r="W315" s="3"/>
      <c r="X315" s="3"/>
      <c r="Y315" s="3"/>
    </row>
    <row r="316" spans="18:25" x14ac:dyDescent="0.35">
      <c r="R316" s="3"/>
      <c r="S316" s="3"/>
      <c r="T316" s="3"/>
      <c r="U316" s="3"/>
      <c r="V316" s="3"/>
      <c r="W316" s="3"/>
      <c r="X316" s="3"/>
      <c r="Y316" s="3"/>
    </row>
    <row r="317" spans="18:25" x14ac:dyDescent="0.35">
      <c r="R317" s="3"/>
      <c r="S317" s="3"/>
      <c r="T317" s="3"/>
      <c r="U317" s="3"/>
      <c r="V317" s="3"/>
      <c r="W317" s="3"/>
      <c r="X317" s="3"/>
      <c r="Y317" s="3"/>
    </row>
    <row r="318" spans="18:25" x14ac:dyDescent="0.35">
      <c r="R318" s="3"/>
      <c r="S318" s="3"/>
      <c r="T318" s="3"/>
      <c r="U318" s="3"/>
      <c r="V318" s="3"/>
      <c r="W318" s="3"/>
      <c r="X318" s="3"/>
      <c r="Y318" s="3"/>
    </row>
    <row r="319" spans="18:25" x14ac:dyDescent="0.35">
      <c r="R319" s="3"/>
      <c r="S319" s="3"/>
      <c r="T319" s="3"/>
      <c r="U319" s="3"/>
      <c r="V319" s="3"/>
      <c r="W319" s="3"/>
      <c r="X319" s="3"/>
      <c r="Y319" s="3"/>
    </row>
    <row r="320" spans="18:25" x14ac:dyDescent="0.35">
      <c r="R320" s="3"/>
      <c r="S320" s="3"/>
      <c r="T320" s="3"/>
      <c r="U320" s="3"/>
      <c r="V320" s="3"/>
      <c r="W320" s="3"/>
      <c r="X320" s="3"/>
      <c r="Y320" s="3"/>
    </row>
  </sheetData>
  <mergeCells count="10">
    <mergeCell ref="A133:Z133"/>
    <mergeCell ref="A127:Z127"/>
    <mergeCell ref="A64:B64"/>
    <mergeCell ref="A4:Z4"/>
    <mergeCell ref="A6:Z6"/>
    <mergeCell ref="A62:C62"/>
    <mergeCell ref="M62:Z62"/>
    <mergeCell ref="A63:C63"/>
    <mergeCell ref="A59:Z59"/>
    <mergeCell ref="A60:Z60"/>
  </mergeCells>
  <printOptions horizontalCentered="1"/>
  <pageMargins left="0.3543307086614173" right="0.23622047244094488" top="0.98425196850393704" bottom="0.19685039370078741" header="0.15748031496062992" footer="0.15748031496062992"/>
  <pageSetup scale="38" fitToHeight="0" orientation="portrait" blackAndWhite="1" r:id="rId1"/>
  <headerFooter alignWithMargins="0"/>
  <rowBreaks count="2" manualBreakCount="2">
    <brk id="61" max="16383" man="1"/>
    <brk id="1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13:W29"/>
  <sheetViews>
    <sheetView workbookViewId="0">
      <selection activeCell="T20" sqref="T20"/>
    </sheetView>
  </sheetViews>
  <sheetFormatPr defaultRowHeight="13.2" x14ac:dyDescent="0.25"/>
  <sheetData>
    <row r="13" spans="16:23" ht="13.8" thickBot="1" x14ac:dyDescent="0.3">
      <c r="P13" s="114"/>
      <c r="Q13" s="114"/>
      <c r="R13" s="115"/>
      <c r="S13" s="114">
        <v>4581857</v>
      </c>
      <c r="T13" s="115">
        <v>4581857</v>
      </c>
      <c r="U13" s="114"/>
    </row>
    <row r="14" spans="16:23" ht="13.8" thickBot="1" x14ac:dyDescent="0.3">
      <c r="P14" s="114"/>
      <c r="Q14" s="114"/>
      <c r="R14" s="115"/>
      <c r="S14" s="114">
        <v>993800</v>
      </c>
      <c r="T14" s="115">
        <v>993800</v>
      </c>
      <c r="U14" s="114"/>
    </row>
    <row r="15" spans="16:23" ht="13.8" thickBot="1" x14ac:dyDescent="0.3">
      <c r="P15" s="114"/>
      <c r="Q15" s="114"/>
      <c r="R15" s="115"/>
      <c r="S15" s="114">
        <v>1162294</v>
      </c>
      <c r="T15" s="115">
        <v>1133059</v>
      </c>
      <c r="U15" s="114"/>
      <c r="W15" s="113">
        <f>+S15-T15</f>
        <v>29235</v>
      </c>
    </row>
    <row r="16" spans="16:23" ht="13.8" thickBot="1" x14ac:dyDescent="0.3">
      <c r="P16" s="114"/>
      <c r="Q16" s="114"/>
      <c r="R16" s="115"/>
      <c r="S16" s="116" t="s">
        <v>106</v>
      </c>
      <c r="T16" s="117" t="s">
        <v>106</v>
      </c>
      <c r="U16" s="114"/>
    </row>
    <row r="17" spans="16:21" ht="13.8" thickBot="1" x14ac:dyDescent="0.3">
      <c r="P17" s="114"/>
      <c r="Q17" s="114"/>
      <c r="R17" s="115"/>
      <c r="S17" s="114">
        <v>402323</v>
      </c>
      <c r="T17" s="115">
        <v>402323</v>
      </c>
      <c r="U17" s="114"/>
    </row>
    <row r="18" spans="16:21" ht="13.8" thickBot="1" x14ac:dyDescent="0.3">
      <c r="P18" s="114"/>
      <c r="Q18" s="114"/>
      <c r="R18" s="115"/>
      <c r="S18" s="114">
        <v>523000</v>
      </c>
      <c r="T18" s="115">
        <v>523000</v>
      </c>
      <c r="U18" s="114"/>
    </row>
    <row r="19" spans="16:21" x14ac:dyDescent="0.25">
      <c r="P19" s="113"/>
      <c r="Q19" s="113"/>
      <c r="R19" s="113"/>
      <c r="S19" s="113">
        <f>SUM(S13:S18)</f>
        <v>7663274</v>
      </c>
      <c r="T19" s="113">
        <f>SUM(T13:T18)</f>
        <v>7634039</v>
      </c>
      <c r="U19" s="113"/>
    </row>
    <row r="20" spans="16:21" x14ac:dyDescent="0.25">
      <c r="T20" s="113"/>
    </row>
    <row r="23" spans="16:21" ht="13.8" thickBot="1" x14ac:dyDescent="0.3">
      <c r="S23" s="114">
        <v>4581857</v>
      </c>
    </row>
    <row r="24" spans="16:21" ht="13.8" thickBot="1" x14ac:dyDescent="0.3">
      <c r="S24" s="114">
        <v>993800</v>
      </c>
    </row>
    <row r="25" spans="16:21" ht="13.8" thickBot="1" x14ac:dyDescent="0.3">
      <c r="S25" s="114">
        <v>1162294</v>
      </c>
    </row>
    <row r="26" spans="16:21" ht="13.8" thickBot="1" x14ac:dyDescent="0.3">
      <c r="S26" s="116" t="s">
        <v>106</v>
      </c>
    </row>
    <row r="27" spans="16:21" ht="13.8" thickBot="1" x14ac:dyDescent="0.3">
      <c r="S27" s="114">
        <v>402323</v>
      </c>
    </row>
    <row r="28" spans="16:21" ht="13.8" thickBot="1" x14ac:dyDescent="0.3">
      <c r="S28" s="114">
        <v>523000</v>
      </c>
    </row>
    <row r="29" spans="16:21" x14ac:dyDescent="0.25">
      <c r="S29" s="113">
        <f>SUM(S23:S28)</f>
        <v>7663274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FC51483EAF9547AF5405F34A68D8CF" ma:contentTypeVersion="4" ma:contentTypeDescription="Create a new document." ma:contentTypeScope="" ma:versionID="bbbacc9f6101fc0892702c4e4b680072">
  <xsd:schema xmlns:xsd="http://www.w3.org/2001/XMLSchema" xmlns:p="http://schemas.microsoft.com/office/2006/metadata/properties" xmlns:ns2="6b03d5a6-c642-4a08-93b6-965b66bfac2e" xmlns:ns3="64e33b30-101d-41de-b951-961aab25ea29" targetNamespace="http://schemas.microsoft.com/office/2006/metadata/properties" ma:root="true" ma:fieldsID="39409073ccf1d849a0e0d716fd570e97" ns2:_="" ns3:_="">
    <xsd:import namespace="6b03d5a6-c642-4a08-93b6-965b66bfac2e"/>
    <xsd:import namespace="64e33b30-101d-41de-b951-961aab25ea29"/>
    <xsd:element name="properties">
      <xsd:complexType>
        <xsd:sequence>
          <xsd:element name="documentManagement">
            <xsd:complexType>
              <xsd:all>
                <xsd:element ref="ns2:Document_x0020_Number" minOccurs="0"/>
                <xsd:element ref="ns3:DocumentTyp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6b03d5a6-c642-4a08-93b6-965b66bfac2e" elementFormDefault="qualified">
    <xsd:import namespace="http://schemas.microsoft.com/office/2006/documentManagement/types"/>
    <xsd:element name="Document_x0020_Number" ma:index="8" nillable="true" ma:displayName="Document Number" ma:default="UNEP/OzL.Pro/ExCom/84/" ma:internalName="Document_x0020_Number">
      <xsd:simpleType>
        <xsd:restriction base="dms:Text">
          <xsd:maxLength value="100"/>
        </xsd:restriction>
      </xsd:simpleType>
    </xsd:element>
  </xsd:schema>
  <xsd:schema xmlns:xsd="http://www.w3.org/2001/XMLSchema" xmlns:dms="http://schemas.microsoft.com/office/2006/documentManagement/types" targetNamespace="64e33b30-101d-41de-b951-961aab25ea29" elementFormDefault="qualified">
    <xsd:import namespace="http://schemas.microsoft.com/office/2006/documentManagement/types"/>
    <xsd:element name="DocumentType" ma:index="9" nillable="true" ma:displayName="DocumentType" ma:default="Pre-session" ma:format="Dropdown" ma:internalName="DocumentType">
      <xsd:simpleType>
        <xsd:restriction base="dms:Choice">
          <xsd:enumeration value="Pre-session"/>
          <xsd:enumeration value="In-session"/>
          <xsd:enumeration value="Final report"/>
          <xsd:enumeration value="Information Note"/>
          <xsd:enumeration value="Information 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ument_x0020_Number xmlns="6b03d5a6-c642-4a08-93b6-965b66bfac2e">UNEP/OzL.Pro/ExCom/84/8</Document_x0020_Number>
    <DocumentType xmlns="64e33b30-101d-41de-b951-961aab25ea29">Pre-session</DocumentType>
  </documentManagement>
</p:properties>
</file>

<file path=customXml/itemProps1.xml><?xml version="1.0" encoding="utf-8"?>
<ds:datastoreItem xmlns:ds="http://schemas.openxmlformats.org/officeDocument/2006/customXml" ds:itemID="{33A2CC7D-A75F-47B2-A903-1904A3541AA7}"/>
</file>

<file path=customXml/itemProps2.xml><?xml version="1.0" encoding="utf-8"?>
<ds:datastoreItem xmlns:ds="http://schemas.openxmlformats.org/officeDocument/2006/customXml" ds:itemID="{1E1524A3-67B7-4D87-87E3-3B949B92845A}"/>
</file>

<file path=customXml/itemProps3.xml><?xml version="1.0" encoding="utf-8"?>
<ds:datastoreItem xmlns:ds="http://schemas.openxmlformats.org/officeDocument/2006/customXml" ds:itemID="{1F4402F6-46AE-41CA-85D3-909C7B59B6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Annex I</vt:lpstr>
      <vt:lpstr>Sheet2</vt:lpstr>
      <vt:lpstr>'Annex 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Approved 2019, 2020 and 2021, and proposed 2022 budgets of the Fund Secretariat (part 2)</dc:title>
  <dc:creator>Jack Lee</dc:creator>
  <cp:lastModifiedBy>Elina Yuen</cp:lastModifiedBy>
  <cp:lastPrinted>2019-11-27T15:32:00Z</cp:lastPrinted>
  <dcterms:created xsi:type="dcterms:W3CDTF">2018-10-19T19:54:05Z</dcterms:created>
  <dcterms:modified xsi:type="dcterms:W3CDTF">2019-12-02T21:29:12Z</dcterms:modified>
  <cp:contentType>Document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0x010100D1FC51483EAF9547AF5405F34A68D8CF</vt:lpwstr>
  </property>
</Properties>
</file>