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8265" yWindow="-345" windowWidth="32040" windowHeight="9390" tabRatio="603"/>
  </bookViews>
  <sheets>
    <sheet name="Annex I" sheetId="1" r:id="rId1"/>
  </sheets>
  <definedNames>
    <definedName name="_xlnm.Print_Area" localSheetId="0">'Annex I'!$A$1:$AA$131</definedName>
    <definedName name="Z_266E5F35_F9B4_4BB5_8B70_8AEB574E8C1B_.wvu.Cols" localSheetId="0" hidden="1">'Annex I'!#REF!,'Annex I'!#REF!,'Annex I'!#REF!</definedName>
    <definedName name="Z_266E5F35_F9B4_4BB5_8B70_8AEB574E8C1B_.wvu.PrintArea" localSheetId="0" hidden="1">'Annex I'!$A$1:$M$130</definedName>
    <definedName name="Z_3A3ACD92_4BE4_4AF5_B44B_172D609FF364_.wvu.Cols" localSheetId="0" hidden="1">'Annex I'!#REF!,'Annex I'!#REF!,'Annex I'!#REF!,'Annex I'!#REF!</definedName>
    <definedName name="Z_3A3ACD92_4BE4_4AF5_B44B_172D609FF364_.wvu.PrintArea" localSheetId="0" hidden="1">'Annex I'!$A$1:$G$130</definedName>
    <definedName name="Z_4D2EAD97_02B0_4E92_BD2A_3B6E8A26CA89_.wvu.Cols" localSheetId="0" hidden="1">'Annex I'!#REF!,'Annex I'!#REF!,'Annex I'!#REF!,'Annex I'!#REF!</definedName>
    <definedName name="Z_4D2EAD97_02B0_4E92_BD2A_3B6E8A26CA89_.wvu.PrintArea" localSheetId="0" hidden="1">'Annex I'!$A$1:$G$130</definedName>
    <definedName name="Z_6A890FF5_51FC_43A8_BB60_440D42174E94_.wvu.Cols" localSheetId="0" hidden="1">'Annex I'!#REF!,'Annex I'!#REF!,'Annex I'!#REF!,'Annex I'!#REF!</definedName>
    <definedName name="Z_6A890FF5_51FC_43A8_BB60_440D42174E94_.wvu.PrintArea" localSheetId="0" hidden="1">'Annex I'!$A$1:$G$130</definedName>
    <definedName name="Z_9E85A010_A679_47B1_9621_9C31884E92E9_.wvu.Cols" localSheetId="0" hidden="1">'Annex I'!#REF!,'Annex I'!#REF!,'Annex I'!#REF!</definedName>
    <definedName name="Z_9E85A010_A679_47B1_9621_9C31884E92E9_.wvu.PrintArea" localSheetId="0" hidden="1">'Annex I'!$A$1:$M$130</definedName>
    <definedName name="Z_AB5A6890_4B2C_4F1B_AA28_3B0FC3CC14E0_.wvu.Cols" localSheetId="0" hidden="1">'Annex I'!#REF!,'Annex I'!#REF!,'Annex I'!#REF!,'Annex I'!#REF!</definedName>
    <definedName name="Z_AB5A6890_4B2C_4F1B_AA28_3B0FC3CC14E0_.wvu.PrintArea" localSheetId="0" hidden="1">'Annex I'!$A$1:$C$130</definedName>
  </definedNames>
  <calcPr calcId="145621"/>
  <customWorkbookViews>
    <customWorkbookView name="Anthoula Dounavis - Personal View" guid="{266E5F35-F9B4-4BB5-8B70-8AEB574E8C1B}" mergeInterval="0" personalView="1" maximized="1" windowWidth="1276" windowHeight="799" tabRatio="603" activeSheetId="1"/>
    <customWorkbookView name="Bouthena Bendahmane - Personal View" guid="{3A3ACD92-4BE4-4AF5-B44B-172D609FF364}" mergeInterval="0" personalView="1" maximized="1" windowWidth="1276" windowHeight="847" tabRatio="603" activeSheetId="1"/>
    <customWorkbookView name="houda - Personal View" guid="{4D2EAD97-02B0-4E92-BD2A-3B6E8A26CA89}" mergeInterval="0" personalView="1" maximized="1" windowWidth="1020" windowHeight="495" tabRatio="603" activeSheetId="1"/>
    <customWorkbookView name="  - Personal View" guid="{AB5A6890-4B2C-4F1B-AA28-3B0FC3CC14E0}" mergeInterval="0" personalView="1" maximized="1" windowWidth="1276" windowHeight="805" tabRatio="603" activeSheetId="1"/>
    <customWorkbookView name="bgiliane - Personal View" guid="{6A890FF5-51FC-43A8-BB60-440D42174E94}" mergeInterval="0" personalView="1" maximized="1" windowWidth="1276" windowHeight="775" tabRatio="603" activeSheetId="1"/>
    <customWorkbookView name="jack - Personal View" guid="{9E85A010-A679-47B1-9621-9C31884E92E9}" mergeInterval="0" personalView="1" maximized="1" windowWidth="1430" windowHeight="590" tabRatio="603" activeSheetId="1"/>
  </customWorkbookViews>
</workbook>
</file>

<file path=xl/calcChain.xml><?xml version="1.0" encoding="utf-8"?>
<calcChain xmlns="http://schemas.openxmlformats.org/spreadsheetml/2006/main">
  <c r="S27" i="1" l="1"/>
  <c r="S17" i="1"/>
  <c r="Q55" i="1" l="1"/>
  <c r="Q123" i="1"/>
  <c r="Q74" i="1"/>
  <c r="Q87" i="1" l="1"/>
  <c r="Q88" i="1" s="1"/>
  <c r="Q39" i="1"/>
  <c r="Q52" i="1" s="1"/>
  <c r="Q29" i="1"/>
  <c r="Q28" i="1"/>
  <c r="Q31" i="1" l="1"/>
  <c r="P124" i="1"/>
  <c r="Q124" i="1"/>
  <c r="O123" i="1"/>
  <c r="O124" i="1" s="1"/>
  <c r="Q121" i="1"/>
  <c r="P121" i="1"/>
  <c r="O121" i="1"/>
  <c r="Q113" i="1"/>
  <c r="P113" i="1"/>
  <c r="O113" i="1"/>
  <c r="P110" i="1"/>
  <c r="O110" i="1"/>
  <c r="Q110" i="1"/>
  <c r="Q100" i="1"/>
  <c r="P100" i="1"/>
  <c r="O100" i="1"/>
  <c r="Q97" i="1"/>
  <c r="P97" i="1"/>
  <c r="O97" i="1"/>
  <c r="P93" i="1"/>
  <c r="O93" i="1"/>
  <c r="Q93" i="1"/>
  <c r="P88" i="1"/>
  <c r="O88" i="1"/>
  <c r="Q83" i="1"/>
  <c r="P83" i="1"/>
  <c r="O83" i="1"/>
  <c r="P74" i="1"/>
  <c r="O74" i="1"/>
  <c r="P59" i="1"/>
  <c r="Q57" i="1"/>
  <c r="Q59" i="1" s="1"/>
  <c r="O57" i="1"/>
  <c r="O59" i="1" s="1"/>
  <c r="P52" i="1"/>
  <c r="O52" i="1"/>
  <c r="Q35" i="1"/>
  <c r="P35" i="1"/>
  <c r="O35" i="1"/>
  <c r="P31" i="1"/>
  <c r="O31" i="1"/>
  <c r="O101" i="1" l="1"/>
  <c r="Q101" i="1"/>
  <c r="O60" i="1"/>
  <c r="O75" i="1" s="1"/>
  <c r="P60" i="1"/>
  <c r="P75" i="1" s="1"/>
  <c r="P101" i="1"/>
  <c r="O125" i="1"/>
  <c r="P125" i="1"/>
  <c r="Q125" i="1"/>
  <c r="Q60" i="1"/>
  <c r="Q75" i="1" s="1"/>
  <c r="P126" i="1" l="1"/>
  <c r="P128" i="1" s="1"/>
  <c r="P130" i="1" s="1"/>
  <c r="O126" i="1"/>
  <c r="O128" i="1" s="1"/>
  <c r="O130" i="1" s="1"/>
  <c r="Q126" i="1"/>
  <c r="Q128" i="1" s="1"/>
  <c r="Q130" i="1" s="1"/>
  <c r="S56" i="1"/>
  <c r="S55" i="1"/>
  <c r="S54" i="1"/>
  <c r="Z56" i="1"/>
  <c r="Z55" i="1"/>
  <c r="Z54" i="1"/>
  <c r="W56" i="1"/>
  <c r="W55" i="1"/>
  <c r="W54" i="1"/>
  <c r="V225" i="1" l="1"/>
  <c r="V217" i="1"/>
  <c r="W217" i="1"/>
  <c r="X217" i="1"/>
  <c r="Y217" i="1"/>
  <c r="V185" i="1"/>
  <c r="W185" i="1"/>
  <c r="X185" i="1"/>
  <c r="Y185" i="1"/>
  <c r="C160" i="1"/>
  <c r="C161" i="1" s="1"/>
  <c r="Y156" i="1"/>
  <c r="V166" i="1"/>
  <c r="V163" i="1"/>
  <c r="V158" i="1"/>
  <c r="V160" i="1" s="1"/>
  <c r="V172" i="1"/>
  <c r="V159" i="1" l="1"/>
  <c r="Y147" i="1"/>
  <c r="Y146" i="1"/>
  <c r="Y145" i="1"/>
  <c r="Y144" i="1"/>
  <c r="Y143" i="1"/>
  <c r="Y142" i="1"/>
  <c r="Y141" i="1"/>
  <c r="Y140" i="1"/>
  <c r="Y139" i="1"/>
  <c r="Y138" i="1"/>
  <c r="Y129" i="1"/>
  <c r="Y122" i="1"/>
  <c r="Y120" i="1"/>
  <c r="Y119" i="1"/>
  <c r="Y118" i="1"/>
  <c r="Y117" i="1"/>
  <c r="Y115" i="1"/>
  <c r="Y114" i="1"/>
  <c r="Y111" i="1"/>
  <c r="Y109" i="1"/>
  <c r="Y108" i="1"/>
  <c r="Y107" i="1"/>
  <c r="Y104" i="1"/>
  <c r="Y103" i="1"/>
  <c r="Y102" i="1"/>
  <c r="Y99" i="1"/>
  <c r="Y98" i="1"/>
  <c r="Y96" i="1"/>
  <c r="Y95" i="1"/>
  <c r="Y94" i="1"/>
  <c r="Y90" i="1"/>
  <c r="Y89" i="1"/>
  <c r="Y86" i="1"/>
  <c r="Y85" i="1"/>
  <c r="Y84" i="1"/>
  <c r="Y82" i="1"/>
  <c r="Y81" i="1"/>
  <c r="Y80" i="1"/>
  <c r="Y79" i="1"/>
  <c r="Y78" i="1"/>
  <c r="Y77" i="1"/>
  <c r="Y76" i="1"/>
  <c r="Y73" i="1"/>
  <c r="Y72" i="1"/>
  <c r="Y71" i="1"/>
  <c r="Y70" i="1"/>
  <c r="Y58" i="1"/>
  <c r="Y56" i="1"/>
  <c r="Y55" i="1"/>
  <c r="Y54" i="1"/>
  <c r="Y53" i="1"/>
  <c r="Y51" i="1"/>
  <c r="Y48" i="1"/>
  <c r="Y46" i="1"/>
  <c r="Y37" i="1"/>
  <c r="Y36" i="1"/>
  <c r="Y34" i="1"/>
  <c r="Y33" i="1"/>
  <c r="Y32" i="1"/>
  <c r="Y30" i="1"/>
  <c r="Y25" i="1"/>
  <c r="U129" i="1"/>
  <c r="U122" i="1"/>
  <c r="U120" i="1"/>
  <c r="U119" i="1"/>
  <c r="U118" i="1"/>
  <c r="U117" i="1"/>
  <c r="U115" i="1"/>
  <c r="U114" i="1"/>
  <c r="U111" i="1"/>
  <c r="U109" i="1"/>
  <c r="U108" i="1"/>
  <c r="U107" i="1"/>
  <c r="U104" i="1"/>
  <c r="U103" i="1"/>
  <c r="U102" i="1"/>
  <c r="U99" i="1"/>
  <c r="U98" i="1"/>
  <c r="U96" i="1"/>
  <c r="U95" i="1"/>
  <c r="U94" i="1"/>
  <c r="U90" i="1"/>
  <c r="U89" i="1"/>
  <c r="U86" i="1"/>
  <c r="U85" i="1"/>
  <c r="U84" i="1"/>
  <c r="U82" i="1"/>
  <c r="U81" i="1"/>
  <c r="U80" i="1"/>
  <c r="U79" i="1"/>
  <c r="U78" i="1"/>
  <c r="U77" i="1"/>
  <c r="U76" i="1"/>
  <c r="U73" i="1"/>
  <c r="U72" i="1"/>
  <c r="U54" i="1"/>
  <c r="U58" i="1"/>
  <c r="U56" i="1"/>
  <c r="U55" i="1"/>
  <c r="U53" i="1"/>
  <c r="U51" i="1"/>
  <c r="U48" i="1"/>
  <c r="U46" i="1"/>
  <c r="U40" i="1"/>
  <c r="U39" i="1"/>
  <c r="U38" i="1"/>
  <c r="U37" i="1"/>
  <c r="U36" i="1"/>
  <c r="U34" i="1"/>
  <c r="U33" i="1"/>
  <c r="U32" i="1"/>
  <c r="U29" i="1"/>
  <c r="U28" i="1"/>
  <c r="U23" i="1"/>
  <c r="S123" i="1"/>
  <c r="Z87" i="1"/>
  <c r="W87" i="1"/>
  <c r="Y87" i="1" s="1"/>
  <c r="S87" i="1"/>
  <c r="U87" i="1" s="1"/>
  <c r="T56" i="1"/>
  <c r="M56" i="1"/>
  <c r="N56" i="1" s="1"/>
  <c r="J56" i="1"/>
  <c r="E56" i="1"/>
  <c r="D56" i="1"/>
  <c r="M23" i="1" l="1"/>
  <c r="N23" i="1" s="1"/>
  <c r="K75" i="1"/>
  <c r="K130" i="1" s="1"/>
  <c r="N122" i="1"/>
  <c r="N120" i="1"/>
  <c r="N119" i="1"/>
  <c r="N118" i="1"/>
  <c r="N117" i="1"/>
  <c r="N115" i="1"/>
  <c r="N114" i="1"/>
  <c r="N111" i="1"/>
  <c r="N109" i="1"/>
  <c r="N108" i="1"/>
  <c r="N107" i="1"/>
  <c r="N104" i="1"/>
  <c r="N103" i="1"/>
  <c r="N102" i="1"/>
  <c r="N99" i="1"/>
  <c r="N98" i="1"/>
  <c r="N96" i="1"/>
  <c r="N95" i="1"/>
  <c r="N94" i="1"/>
  <c r="N90" i="1"/>
  <c r="N89" i="1"/>
  <c r="N86" i="1"/>
  <c r="N85" i="1"/>
  <c r="N84" i="1"/>
  <c r="N82" i="1"/>
  <c r="N81" i="1"/>
  <c r="N80" i="1"/>
  <c r="N79" i="1"/>
  <c r="N78" i="1"/>
  <c r="N77" i="1"/>
  <c r="N73" i="1"/>
  <c r="N72" i="1"/>
  <c r="N58" i="1"/>
  <c r="N54" i="1"/>
  <c r="N53" i="1"/>
  <c r="N51" i="1"/>
  <c r="N48" i="1"/>
  <c r="N46" i="1"/>
  <c r="N37" i="1"/>
  <c r="N36" i="1"/>
  <c r="N34" i="1"/>
  <c r="N33" i="1"/>
  <c r="N32" i="1"/>
  <c r="N30" i="1"/>
  <c r="M57" i="1"/>
  <c r="M38" i="1"/>
  <c r="N38" i="1" s="1"/>
  <c r="M39" i="1"/>
  <c r="N39" i="1" s="1"/>
  <c r="M123" i="1"/>
  <c r="L123" i="1"/>
  <c r="M55" i="1"/>
  <c r="N55" i="1" s="1"/>
  <c r="N123" i="1" l="1"/>
  <c r="X51" i="1"/>
  <c r="X48" i="1"/>
  <c r="X46" i="1"/>
  <c r="X33" i="1"/>
  <c r="X25" i="1"/>
  <c r="T118" i="1"/>
  <c r="T117" i="1"/>
  <c r="T115" i="1"/>
  <c r="T109" i="1"/>
  <c r="T108" i="1"/>
  <c r="T107" i="1"/>
  <c r="T99" i="1"/>
  <c r="T96" i="1"/>
  <c r="T95" i="1"/>
  <c r="T87" i="1"/>
  <c r="T86" i="1"/>
  <c r="T78" i="1"/>
  <c r="T73" i="1"/>
  <c r="T72" i="1"/>
  <c r="T55" i="1"/>
  <c r="T54" i="1"/>
  <c r="T48" i="1"/>
  <c r="T46" i="1"/>
  <c r="T40" i="1"/>
  <c r="T39" i="1"/>
  <c r="T33" i="1"/>
  <c r="R123" i="1"/>
  <c r="T123" i="1" l="1"/>
  <c r="U123" i="1"/>
  <c r="R124" i="1"/>
  <c r="M87" i="1"/>
  <c r="N87" i="1" s="1"/>
  <c r="H49" i="1"/>
  <c r="J49" i="1" s="1"/>
  <c r="H33" i="1"/>
  <c r="J33" i="1" s="1"/>
  <c r="J35" i="1" s="1"/>
  <c r="J120" i="1"/>
  <c r="J119" i="1"/>
  <c r="J118" i="1"/>
  <c r="J117" i="1"/>
  <c r="J115" i="1"/>
  <c r="J109" i="1"/>
  <c r="J108" i="1"/>
  <c r="J107" i="1"/>
  <c r="J99" i="1"/>
  <c r="J100" i="1" s="1"/>
  <c r="J96" i="1"/>
  <c r="J95" i="1"/>
  <c r="J87" i="1"/>
  <c r="J86" i="1"/>
  <c r="J78" i="1"/>
  <c r="J83" i="1" s="1"/>
  <c r="J73" i="1"/>
  <c r="J72" i="1"/>
  <c r="J55" i="1"/>
  <c r="J54" i="1"/>
  <c r="J51" i="1"/>
  <c r="J50" i="1"/>
  <c r="J48" i="1"/>
  <c r="J47" i="1"/>
  <c r="J46" i="1"/>
  <c r="J45" i="1"/>
  <c r="J44" i="1"/>
  <c r="J43" i="1"/>
  <c r="J42" i="1"/>
  <c r="J41" i="1"/>
  <c r="J40" i="1"/>
  <c r="J39" i="1"/>
  <c r="J38" i="1"/>
  <c r="J27" i="1"/>
  <c r="J25" i="1"/>
  <c r="J24" i="1"/>
  <c r="J23" i="1"/>
  <c r="J22" i="1"/>
  <c r="J21" i="1"/>
  <c r="J20" i="1"/>
  <c r="J19" i="1"/>
  <c r="J18" i="1"/>
  <c r="J17" i="1"/>
  <c r="H100" i="1"/>
  <c r="H97" i="1"/>
  <c r="H88" i="1"/>
  <c r="H83" i="1"/>
  <c r="H74" i="1"/>
  <c r="H57" i="1"/>
  <c r="H59" i="1" s="1"/>
  <c r="H29" i="1"/>
  <c r="J29" i="1" s="1"/>
  <c r="H28" i="1"/>
  <c r="J28" i="1" s="1"/>
  <c r="H26" i="1"/>
  <c r="J26" i="1" s="1"/>
  <c r="H16" i="1"/>
  <c r="J16" i="1" s="1"/>
  <c r="H15" i="1"/>
  <c r="J15" i="1" s="1"/>
  <c r="G15" i="1"/>
  <c r="M15" i="1" s="1"/>
  <c r="N15" i="1" s="1"/>
  <c r="G16" i="1"/>
  <c r="M16" i="1" s="1"/>
  <c r="G26" i="1"/>
  <c r="M26" i="1" s="1"/>
  <c r="D28" i="1"/>
  <c r="E28" i="1"/>
  <c r="G28" i="1"/>
  <c r="M28" i="1" s="1"/>
  <c r="N28" i="1" s="1"/>
  <c r="D29" i="1"/>
  <c r="E29" i="1"/>
  <c r="G29" i="1"/>
  <c r="M29" i="1" s="1"/>
  <c r="N29" i="1" s="1"/>
  <c r="F31" i="1"/>
  <c r="D34" i="1"/>
  <c r="E34" i="1"/>
  <c r="E35" i="1" s="1"/>
  <c r="D35" i="1"/>
  <c r="F35" i="1"/>
  <c r="G35" i="1"/>
  <c r="D37" i="1"/>
  <c r="E37" i="1"/>
  <c r="D46" i="1"/>
  <c r="E46" i="1"/>
  <c r="D52" i="1"/>
  <c r="F52" i="1"/>
  <c r="G52" i="1"/>
  <c r="D54" i="1"/>
  <c r="E54" i="1"/>
  <c r="D55" i="1"/>
  <c r="E55" i="1"/>
  <c r="D57" i="1"/>
  <c r="E57" i="1"/>
  <c r="G57" i="1"/>
  <c r="G59" i="1" s="1"/>
  <c r="F59" i="1"/>
  <c r="D72" i="1"/>
  <c r="D73" i="1"/>
  <c r="E73" i="1"/>
  <c r="E74" i="1" s="1"/>
  <c r="F74" i="1"/>
  <c r="G74" i="1"/>
  <c r="D83" i="1"/>
  <c r="E83" i="1"/>
  <c r="F83" i="1"/>
  <c r="G83" i="1"/>
  <c r="D86" i="1"/>
  <c r="D87" i="1"/>
  <c r="E87" i="1"/>
  <c r="E88" i="1" s="1"/>
  <c r="F88" i="1"/>
  <c r="G88" i="1"/>
  <c r="D91" i="1"/>
  <c r="G91" i="1" s="1"/>
  <c r="E91" i="1"/>
  <c r="D92" i="1"/>
  <c r="E92" i="1"/>
  <c r="H92" i="1" s="1"/>
  <c r="J92" i="1" s="1"/>
  <c r="G92" i="1"/>
  <c r="M92" i="1" s="1"/>
  <c r="F93" i="1"/>
  <c r="D95" i="1"/>
  <c r="E95" i="1"/>
  <c r="E97" i="1" s="1"/>
  <c r="D97" i="1"/>
  <c r="F97" i="1"/>
  <c r="G97" i="1"/>
  <c r="D100" i="1"/>
  <c r="E100" i="1"/>
  <c r="F100" i="1"/>
  <c r="G100" i="1"/>
  <c r="D105" i="1"/>
  <c r="G105" i="1" s="1"/>
  <c r="E105" i="1"/>
  <c r="H105" i="1" s="1"/>
  <c r="J105" i="1" s="1"/>
  <c r="D106" i="1"/>
  <c r="E106" i="1"/>
  <c r="H106" i="1" s="1"/>
  <c r="J106" i="1" s="1"/>
  <c r="G106" i="1"/>
  <c r="M106" i="1" s="1"/>
  <c r="F110" i="1"/>
  <c r="D112" i="1"/>
  <c r="D113" i="1" s="1"/>
  <c r="E112" i="1"/>
  <c r="H112" i="1" s="1"/>
  <c r="H113" i="1" s="1"/>
  <c r="G112" i="1"/>
  <c r="G113" i="1" s="1"/>
  <c r="E113" i="1"/>
  <c r="F113" i="1"/>
  <c r="D115" i="1"/>
  <c r="E115" i="1"/>
  <c r="D116" i="1"/>
  <c r="G116" i="1" s="1"/>
  <c r="E116" i="1"/>
  <c r="H116" i="1" s="1"/>
  <c r="F121" i="1"/>
  <c r="D123" i="1"/>
  <c r="G123" i="1" s="1"/>
  <c r="E123" i="1"/>
  <c r="H123" i="1" s="1"/>
  <c r="H124" i="1" s="1"/>
  <c r="F124" i="1"/>
  <c r="M17" i="1"/>
  <c r="N17" i="1" s="1"/>
  <c r="M18" i="1"/>
  <c r="M19" i="1"/>
  <c r="M20" i="1"/>
  <c r="M21" i="1"/>
  <c r="M22" i="1"/>
  <c r="M24" i="1"/>
  <c r="M25" i="1"/>
  <c r="M27" i="1"/>
  <c r="R31" i="1"/>
  <c r="V31" i="1"/>
  <c r="L35" i="1"/>
  <c r="M35" i="1"/>
  <c r="N35" i="1" s="1"/>
  <c r="R35" i="1"/>
  <c r="S35" i="1"/>
  <c r="U35" i="1" s="1"/>
  <c r="V35" i="1"/>
  <c r="W35" i="1"/>
  <c r="Y35" i="1" s="1"/>
  <c r="Z35" i="1"/>
  <c r="V38" i="1"/>
  <c r="V39" i="1"/>
  <c r="W39" i="1"/>
  <c r="M40" i="1"/>
  <c r="N40" i="1" s="1"/>
  <c r="V40" i="1"/>
  <c r="W40" i="1"/>
  <c r="M41" i="1"/>
  <c r="V41" i="1"/>
  <c r="M42" i="1"/>
  <c r="V42" i="1"/>
  <c r="M43" i="1"/>
  <c r="V43" i="1"/>
  <c r="M44" i="1"/>
  <c r="V44" i="1"/>
  <c r="M45" i="1"/>
  <c r="V45" i="1"/>
  <c r="M47" i="1"/>
  <c r="V47" i="1"/>
  <c r="M49" i="1"/>
  <c r="V49" i="1"/>
  <c r="M50" i="1"/>
  <c r="V50" i="1"/>
  <c r="R52" i="1"/>
  <c r="L57" i="1"/>
  <c r="R57" i="1"/>
  <c r="V57" i="1"/>
  <c r="W59" i="1"/>
  <c r="Z59" i="1"/>
  <c r="L74" i="1"/>
  <c r="M74" i="1"/>
  <c r="R74" i="1"/>
  <c r="S74" i="1"/>
  <c r="V74" i="1"/>
  <c r="W74" i="1"/>
  <c r="Z74" i="1"/>
  <c r="L83" i="1"/>
  <c r="M83" i="1"/>
  <c r="R83" i="1"/>
  <c r="S83" i="1"/>
  <c r="V83" i="1"/>
  <c r="W83" i="1"/>
  <c r="Z83" i="1"/>
  <c r="L88" i="1"/>
  <c r="M88" i="1"/>
  <c r="R88" i="1"/>
  <c r="S88" i="1"/>
  <c r="V88" i="1"/>
  <c r="W88" i="1"/>
  <c r="Z88" i="1"/>
  <c r="L93" i="1"/>
  <c r="V91" i="1"/>
  <c r="V92" i="1"/>
  <c r="R93" i="1"/>
  <c r="L97" i="1"/>
  <c r="M97" i="1"/>
  <c r="R97" i="1"/>
  <c r="S97" i="1"/>
  <c r="V97" i="1"/>
  <c r="W97" i="1"/>
  <c r="Z97" i="1"/>
  <c r="L100" i="1"/>
  <c r="M100" i="1"/>
  <c r="R100" i="1"/>
  <c r="S100" i="1"/>
  <c r="V100" i="1"/>
  <c r="W100" i="1"/>
  <c r="Z100" i="1"/>
  <c r="V105" i="1"/>
  <c r="V106" i="1"/>
  <c r="L110" i="1"/>
  <c r="R110" i="1"/>
  <c r="L113" i="1"/>
  <c r="M112" i="1"/>
  <c r="V112" i="1"/>
  <c r="V113" i="1" s="1"/>
  <c r="R113" i="1"/>
  <c r="L121" i="1"/>
  <c r="V116" i="1"/>
  <c r="V121" i="1" s="1"/>
  <c r="R121" i="1"/>
  <c r="L124" i="1"/>
  <c r="V123" i="1"/>
  <c r="V124" i="1" s="1"/>
  <c r="S148" i="1"/>
  <c r="W148" i="1"/>
  <c r="Y148" i="1" s="1"/>
  <c r="Z148" i="1"/>
  <c r="E52" i="1" l="1"/>
  <c r="H52" i="1"/>
  <c r="H60" i="1" s="1"/>
  <c r="Y97" i="1"/>
  <c r="U97" i="1"/>
  <c r="N97" i="1"/>
  <c r="Y88" i="1"/>
  <c r="U88" i="1"/>
  <c r="Y74" i="1"/>
  <c r="U74" i="1"/>
  <c r="N74" i="1"/>
  <c r="S57" i="1"/>
  <c r="S59" i="1" s="1"/>
  <c r="M113" i="1"/>
  <c r="N113" i="1" s="1"/>
  <c r="N112" i="1"/>
  <c r="S92" i="1"/>
  <c r="U92" i="1" s="1"/>
  <c r="N92" i="1"/>
  <c r="V59" i="1"/>
  <c r="Y57" i="1"/>
  <c r="S50" i="1"/>
  <c r="U50" i="1" s="1"/>
  <c r="N50" i="1"/>
  <c r="S49" i="1"/>
  <c r="U49" i="1" s="1"/>
  <c r="N49" i="1"/>
  <c r="S47" i="1"/>
  <c r="U47" i="1" s="1"/>
  <c r="N47" i="1"/>
  <c r="Z39" i="1"/>
  <c r="Y39" i="1"/>
  <c r="Y100" i="1"/>
  <c r="U100" i="1"/>
  <c r="N100" i="1"/>
  <c r="Y83" i="1"/>
  <c r="U83" i="1"/>
  <c r="N83" i="1"/>
  <c r="Y59" i="1"/>
  <c r="Z40" i="1"/>
  <c r="Y40" i="1"/>
  <c r="R59" i="1"/>
  <c r="R60" i="1" s="1"/>
  <c r="R75" i="1" s="1"/>
  <c r="S106" i="1"/>
  <c r="U106" i="1" s="1"/>
  <c r="N106" i="1"/>
  <c r="L59" i="1"/>
  <c r="N57" i="1"/>
  <c r="S45" i="1"/>
  <c r="U45" i="1" s="1"/>
  <c r="N45" i="1"/>
  <c r="S44" i="1"/>
  <c r="U44" i="1" s="1"/>
  <c r="N44" i="1"/>
  <c r="S43" i="1"/>
  <c r="U43" i="1" s="1"/>
  <c r="N43" i="1"/>
  <c r="S42" i="1"/>
  <c r="U42" i="1" s="1"/>
  <c r="N42" i="1"/>
  <c r="S41" i="1"/>
  <c r="W41" i="1" s="1"/>
  <c r="N41" i="1"/>
  <c r="U27" i="1"/>
  <c r="N27" i="1"/>
  <c r="S24" i="1"/>
  <c r="U24" i="1" s="1"/>
  <c r="N24" i="1"/>
  <c r="S21" i="1"/>
  <c r="U21" i="1" s="1"/>
  <c r="N21" i="1"/>
  <c r="S19" i="1"/>
  <c r="U19" i="1" s="1"/>
  <c r="N19" i="1"/>
  <c r="S25" i="1"/>
  <c r="N25" i="1"/>
  <c r="S22" i="1"/>
  <c r="U22" i="1" s="1"/>
  <c r="N22" i="1"/>
  <c r="S20" i="1"/>
  <c r="U20" i="1" s="1"/>
  <c r="N20" i="1"/>
  <c r="S18" i="1"/>
  <c r="U18" i="1" s="1"/>
  <c r="N18" i="1"/>
  <c r="S16" i="1"/>
  <c r="U16" i="1" s="1"/>
  <c r="N16" i="1"/>
  <c r="S26" i="1"/>
  <c r="U26" i="1" s="1"/>
  <c r="N26" i="1"/>
  <c r="D88" i="1"/>
  <c r="J74" i="1"/>
  <c r="J88" i="1"/>
  <c r="D74" i="1"/>
  <c r="G121" i="1"/>
  <c r="M116" i="1"/>
  <c r="V110" i="1"/>
  <c r="V125" i="1" s="1"/>
  <c r="M59" i="1"/>
  <c r="F60" i="1"/>
  <c r="F75" i="1" s="1"/>
  <c r="X40" i="1"/>
  <c r="X39" i="1"/>
  <c r="E124" i="1"/>
  <c r="G60" i="1"/>
  <c r="D59" i="1"/>
  <c r="E31" i="1"/>
  <c r="E127" i="1" s="1"/>
  <c r="J97" i="1"/>
  <c r="W43" i="1"/>
  <c r="T41" i="1"/>
  <c r="J116" i="1"/>
  <c r="J121" i="1" s="1"/>
  <c r="H121" i="1"/>
  <c r="V93" i="1"/>
  <c r="V101" i="1" s="1"/>
  <c r="W49" i="1"/>
  <c r="X49" i="1" s="1"/>
  <c r="W45" i="1"/>
  <c r="W38" i="1"/>
  <c r="T38" i="1"/>
  <c r="W28" i="1"/>
  <c r="Y28" i="1" s="1"/>
  <c r="T28" i="1"/>
  <c r="W23" i="1"/>
  <c r="Y23" i="1" s="1"/>
  <c r="T23" i="1"/>
  <c r="E93" i="1"/>
  <c r="E101" i="1" s="1"/>
  <c r="H31" i="1"/>
  <c r="H91" i="1"/>
  <c r="J91" i="1" s="1"/>
  <c r="W50" i="1"/>
  <c r="W22" i="1"/>
  <c r="Y22" i="1" s="1"/>
  <c r="D121" i="1"/>
  <c r="W29" i="1"/>
  <c r="Y29" i="1" s="1"/>
  <c r="T29" i="1"/>
  <c r="T57" i="1"/>
  <c r="W106" i="1"/>
  <c r="J57" i="1"/>
  <c r="J59" i="1" s="1"/>
  <c r="V52" i="1"/>
  <c r="V127" i="1" s="1"/>
  <c r="J110" i="1"/>
  <c r="H35" i="1"/>
  <c r="R125" i="1"/>
  <c r="H93" i="1"/>
  <c r="H101" i="1" s="1"/>
  <c r="J52" i="1"/>
  <c r="L101" i="1"/>
  <c r="J31" i="1"/>
  <c r="J93" i="1"/>
  <c r="J101" i="1" s="1"/>
  <c r="L52" i="1"/>
  <c r="L60" i="1" s="1"/>
  <c r="F101" i="1"/>
  <c r="H110" i="1"/>
  <c r="J123" i="1"/>
  <c r="J124" i="1" s="1"/>
  <c r="J112" i="1"/>
  <c r="J113" i="1" s="1"/>
  <c r="J127" i="1"/>
  <c r="D60" i="1"/>
  <c r="M124" i="1"/>
  <c r="N124" i="1" s="1"/>
  <c r="G124" i="1"/>
  <c r="L125" i="1"/>
  <c r="R101" i="1"/>
  <c r="M52" i="1"/>
  <c r="R127" i="1"/>
  <c r="D124" i="1"/>
  <c r="E121" i="1"/>
  <c r="E110" i="1"/>
  <c r="D31" i="1"/>
  <c r="F125" i="1"/>
  <c r="E59" i="1"/>
  <c r="E60" i="1" s="1"/>
  <c r="G31" i="1"/>
  <c r="G127" i="1" s="1"/>
  <c r="L31" i="1"/>
  <c r="G110" i="1"/>
  <c r="M105" i="1"/>
  <c r="N105" i="1" s="1"/>
  <c r="G93" i="1"/>
  <c r="G101" i="1" s="1"/>
  <c r="M91" i="1"/>
  <c r="N91" i="1" s="1"/>
  <c r="S15" i="1"/>
  <c r="M31" i="1"/>
  <c r="S112" i="1"/>
  <c r="M121" i="1"/>
  <c r="N121" i="1" s="1"/>
  <c r="D110" i="1"/>
  <c r="D93" i="1"/>
  <c r="D101" i="1" s="1"/>
  <c r="I52" i="1"/>
  <c r="T106" i="1" l="1"/>
  <c r="W18" i="1"/>
  <c r="Y18" i="1" s="1"/>
  <c r="W27" i="1"/>
  <c r="Y27" i="1" s="1"/>
  <c r="W21" i="1"/>
  <c r="Y21" i="1" s="1"/>
  <c r="W47" i="1"/>
  <c r="T92" i="1"/>
  <c r="S52" i="1"/>
  <c r="T26" i="1"/>
  <c r="W16" i="1"/>
  <c r="W20" i="1"/>
  <c r="Y20" i="1" s="1"/>
  <c r="W24" i="1"/>
  <c r="Y24" i="1" s="1"/>
  <c r="W42" i="1"/>
  <c r="Y42" i="1" s="1"/>
  <c r="W19" i="1"/>
  <c r="Y19" i="1" s="1"/>
  <c r="W44" i="1"/>
  <c r="Y44" i="1" s="1"/>
  <c r="W26" i="1"/>
  <c r="Y26" i="1" s="1"/>
  <c r="T16" i="1"/>
  <c r="T18" i="1"/>
  <c r="T20" i="1"/>
  <c r="T22" i="1"/>
  <c r="T24" i="1"/>
  <c r="T27" i="1"/>
  <c r="T42" i="1"/>
  <c r="T19" i="1"/>
  <c r="T21" i="1"/>
  <c r="T44" i="1"/>
  <c r="T45" i="1"/>
  <c r="T43" i="1"/>
  <c r="U59" i="1"/>
  <c r="T50" i="1"/>
  <c r="T47" i="1"/>
  <c r="T49" i="1"/>
  <c r="W92" i="1"/>
  <c r="Y92" i="1" s="1"/>
  <c r="U57" i="1"/>
  <c r="T112" i="1"/>
  <c r="U112" i="1"/>
  <c r="T15" i="1"/>
  <c r="U15" i="1"/>
  <c r="Z106" i="1"/>
  <c r="Y106" i="1"/>
  <c r="Z42" i="1"/>
  <c r="Z41" i="1"/>
  <c r="Z92" i="1"/>
  <c r="Z43" i="1"/>
  <c r="Y43" i="1"/>
  <c r="Z50" i="1"/>
  <c r="Y50" i="1"/>
  <c r="T17" i="1"/>
  <c r="U17" i="1"/>
  <c r="Z38" i="1"/>
  <c r="Y38" i="1"/>
  <c r="Z45" i="1"/>
  <c r="Y45" i="1"/>
  <c r="Z47" i="1"/>
  <c r="Y47" i="1"/>
  <c r="Z49" i="1"/>
  <c r="Y49" i="1"/>
  <c r="S116" i="1"/>
  <c r="N116" i="1"/>
  <c r="T25" i="1"/>
  <c r="U25" i="1"/>
  <c r="S60" i="1"/>
  <c r="U60" i="1" s="1"/>
  <c r="U52" i="1"/>
  <c r="E75" i="1"/>
  <c r="M60" i="1"/>
  <c r="M75" i="1" s="1"/>
  <c r="X43" i="1"/>
  <c r="H125" i="1"/>
  <c r="D125" i="1"/>
  <c r="D126" i="1" s="1"/>
  <c r="D75" i="1"/>
  <c r="X38" i="1"/>
  <c r="X45" i="1"/>
  <c r="F126" i="1"/>
  <c r="F128" i="1" s="1"/>
  <c r="F149" i="1" s="1"/>
  <c r="X41" i="1"/>
  <c r="G125" i="1"/>
  <c r="H75" i="1"/>
  <c r="V60" i="1"/>
  <c r="V75" i="1" s="1"/>
  <c r="V126" i="1" s="1"/>
  <c r="V128" i="1" s="1"/>
  <c r="Z16" i="1"/>
  <c r="X16" i="1"/>
  <c r="Z18" i="1"/>
  <c r="X18" i="1"/>
  <c r="Z22" i="1"/>
  <c r="X22" i="1"/>
  <c r="Z24" i="1"/>
  <c r="X24" i="1"/>
  <c r="X27" i="1"/>
  <c r="X44" i="1"/>
  <c r="X47" i="1"/>
  <c r="W17" i="1"/>
  <c r="Y17" i="1" s="1"/>
  <c r="Z19" i="1"/>
  <c r="X19" i="1"/>
  <c r="Z21" i="1"/>
  <c r="X21" i="1"/>
  <c r="Z23" i="1"/>
  <c r="X23" i="1"/>
  <c r="Z28" i="1"/>
  <c r="X28" i="1"/>
  <c r="X50" i="1"/>
  <c r="L75" i="1"/>
  <c r="L126" i="1" s="1"/>
  <c r="Z26" i="1"/>
  <c r="X26" i="1"/>
  <c r="Z29" i="1"/>
  <c r="X29" i="1"/>
  <c r="J60" i="1"/>
  <c r="J75" i="1" s="1"/>
  <c r="J125" i="1"/>
  <c r="L127" i="1"/>
  <c r="G75" i="1"/>
  <c r="G126" i="1" s="1"/>
  <c r="G128" i="1" s="1"/>
  <c r="E125" i="1"/>
  <c r="R126" i="1"/>
  <c r="R128" i="1" s="1"/>
  <c r="R130" i="1" s="1"/>
  <c r="D127" i="1"/>
  <c r="N127" i="1"/>
  <c r="W123" i="1"/>
  <c r="Y123" i="1" s="1"/>
  <c r="W15" i="1"/>
  <c r="S31" i="1"/>
  <c r="S105" i="1"/>
  <c r="M110" i="1"/>
  <c r="S113" i="1"/>
  <c r="U113" i="1" s="1"/>
  <c r="W112" i="1"/>
  <c r="Y112" i="1" s="1"/>
  <c r="S91" i="1"/>
  <c r="M93" i="1"/>
  <c r="Z27" i="1" l="1"/>
  <c r="T59" i="1"/>
  <c r="E126" i="1"/>
  <c r="E128" i="1" s="1"/>
  <c r="E130" i="1" s="1"/>
  <c r="Z20" i="1"/>
  <c r="X42" i="1"/>
  <c r="W52" i="1"/>
  <c r="Y52" i="1" s="1"/>
  <c r="Z44" i="1"/>
  <c r="Z52" i="1"/>
  <c r="Z60" i="1" s="1"/>
  <c r="X20" i="1"/>
  <c r="T91" i="1"/>
  <c r="U91" i="1"/>
  <c r="X15" i="1"/>
  <c r="Y15" i="1"/>
  <c r="W60" i="1"/>
  <c r="Y60" i="1" s="1"/>
  <c r="T116" i="1"/>
  <c r="U116" i="1"/>
  <c r="W116" i="1"/>
  <c r="S121" i="1"/>
  <c r="U121" i="1" s="1"/>
  <c r="T105" i="1"/>
  <c r="U105" i="1"/>
  <c r="S127" i="1"/>
  <c r="U31" i="1"/>
  <c r="M101" i="1"/>
  <c r="N101" i="1" s="1"/>
  <c r="N93" i="1"/>
  <c r="M125" i="1"/>
  <c r="N125" i="1" s="1"/>
  <c r="N110" i="1"/>
  <c r="N75" i="1"/>
  <c r="H126" i="1"/>
  <c r="H128" i="1" s="1"/>
  <c r="H149" i="1" s="1"/>
  <c r="L128" i="1"/>
  <c r="L130" i="1" s="1"/>
  <c r="J126" i="1"/>
  <c r="J128" i="1" s="1"/>
  <c r="J130" i="1" s="1"/>
  <c r="Z17" i="1"/>
  <c r="X17" i="1"/>
  <c r="D128" i="1"/>
  <c r="D130" i="1" s="1"/>
  <c r="V149" i="1"/>
  <c r="V130" i="1"/>
  <c r="R149" i="1"/>
  <c r="G130" i="1"/>
  <c r="G149" i="1"/>
  <c r="S124" i="1"/>
  <c r="U124" i="1" s="1"/>
  <c r="S110" i="1"/>
  <c r="U110" i="1" s="1"/>
  <c r="W105" i="1"/>
  <c r="Y105" i="1" s="1"/>
  <c r="Z123" i="1"/>
  <c r="Z124" i="1" s="1"/>
  <c r="W124" i="1"/>
  <c r="Y124" i="1" s="1"/>
  <c r="W113" i="1"/>
  <c r="Y113" i="1" s="1"/>
  <c r="Z112" i="1"/>
  <c r="Z113" i="1" s="1"/>
  <c r="W31" i="1"/>
  <c r="Y31" i="1" s="1"/>
  <c r="Z15" i="1"/>
  <c r="S75" i="1"/>
  <c r="U75" i="1" s="1"/>
  <c r="S93" i="1"/>
  <c r="W91" i="1"/>
  <c r="Y91" i="1" s="1"/>
  <c r="I100" i="1"/>
  <c r="I97" i="1"/>
  <c r="I88" i="1"/>
  <c r="I83" i="1"/>
  <c r="I74" i="1"/>
  <c r="I59" i="1"/>
  <c r="I35" i="1"/>
  <c r="X60" i="1" l="1"/>
  <c r="Y116" i="1"/>
  <c r="W121" i="1"/>
  <c r="Y121" i="1" s="1"/>
  <c r="Z116" i="1"/>
  <c r="Z121" i="1" s="1"/>
  <c r="S101" i="1"/>
  <c r="U101" i="1" s="1"/>
  <c r="U93" i="1"/>
  <c r="T127" i="1"/>
  <c r="U127" i="1"/>
  <c r="M126" i="1"/>
  <c r="N126" i="1" s="1"/>
  <c r="N128" i="1" s="1"/>
  <c r="H130" i="1"/>
  <c r="Z31" i="1"/>
  <c r="Z75" i="1" s="1"/>
  <c r="L149" i="1"/>
  <c r="S125" i="1"/>
  <c r="Z105" i="1"/>
  <c r="Z110" i="1" s="1"/>
  <c r="W110" i="1"/>
  <c r="Z91" i="1"/>
  <c r="Z93" i="1" s="1"/>
  <c r="Z101" i="1" s="1"/>
  <c r="W93" i="1"/>
  <c r="W127" i="1"/>
  <c r="W75" i="1"/>
  <c r="Y75" i="1" s="1"/>
  <c r="I31" i="1"/>
  <c r="I60" i="1"/>
  <c r="Z125" i="1" l="1"/>
  <c r="Z126" i="1" s="1"/>
  <c r="W101" i="1"/>
  <c r="Y101" i="1" s="1"/>
  <c r="Y93" i="1"/>
  <c r="W125" i="1"/>
  <c r="Y125" i="1" s="1"/>
  <c r="Y110" i="1"/>
  <c r="X127" i="1"/>
  <c r="X130" i="1" s="1"/>
  <c r="Y127" i="1"/>
  <c r="S126" i="1"/>
  <c r="U125" i="1"/>
  <c r="M128" i="1"/>
  <c r="M149" i="1" s="1"/>
  <c r="Z127" i="1"/>
  <c r="I75" i="1"/>
  <c r="W126" i="1" l="1"/>
  <c r="W128" i="1" s="1"/>
  <c r="Y128" i="1" s="1"/>
  <c r="S128" i="1"/>
  <c r="U126" i="1"/>
  <c r="M130" i="1"/>
  <c r="Z128" i="1"/>
  <c r="Z149" i="1" s="1"/>
  <c r="Y126" i="1" l="1"/>
  <c r="W149" i="1"/>
  <c r="Y149" i="1" s="1"/>
  <c r="W130" i="1"/>
  <c r="Y130" i="1" s="1"/>
  <c r="S149" i="1"/>
  <c r="U128" i="1"/>
  <c r="S130" i="1"/>
  <c r="U130" i="1" s="1"/>
  <c r="Z130" i="1"/>
  <c r="I121" i="1" l="1"/>
  <c r="I110" i="1" l="1"/>
  <c r="I113" i="1"/>
  <c r="I124" i="1"/>
  <c r="I93" i="1"/>
  <c r="I101" i="1" s="1"/>
  <c r="I125" i="1" l="1"/>
  <c r="I126" i="1" s="1"/>
  <c r="I128" i="1" s="1"/>
  <c r="I130" i="1" s="1"/>
  <c r="I149" i="1" l="1"/>
</calcChain>
</file>

<file path=xl/sharedStrings.xml><?xml version="1.0" encoding="utf-8"?>
<sst xmlns="http://schemas.openxmlformats.org/spreadsheetml/2006/main" count="305" uniqueCount="168">
  <si>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</si>
  <si>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</si>
  <si>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</si>
  <si>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</si>
  <si>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</si>
  <si>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</si>
  <si>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</si>
  <si>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</si>
  <si>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</si>
  <si>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</si>
  <si>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Consultants</t>
  </si>
  <si>
    <t>Communications</t>
  </si>
  <si>
    <t>11</t>
  </si>
  <si>
    <t>Approved</t>
  </si>
  <si>
    <t>Revised</t>
  </si>
  <si>
    <t>12</t>
  </si>
  <si>
    <t>1699</t>
  </si>
  <si>
    <t>14</t>
  </si>
  <si>
    <t xml:space="preserve">  </t>
  </si>
  <si>
    <t>Page 2</t>
  </si>
  <si>
    <t>Deputy Chief Officer on Financial and Economic Affairs (P5)</t>
  </si>
  <si>
    <t>Chief Officer (D2)</t>
  </si>
  <si>
    <r>
      <t>Deputy Chief Officer (D1)</t>
    </r>
    <r>
      <rPr>
        <i/>
        <sz val="12"/>
        <rFont val="Times New Roman"/>
        <family val="1"/>
      </rPr>
      <t/>
    </r>
  </si>
  <si>
    <t>Administrative Support Personnel</t>
  </si>
  <si>
    <t>Programme Assistant (G5)</t>
  </si>
  <si>
    <t>Secretary/Clerk, Administration (G6)</t>
  </si>
  <si>
    <t>Registry Clerk (G4)</t>
  </si>
  <si>
    <t xml:space="preserve">Database Assistant (G7) </t>
  </si>
  <si>
    <t xml:space="preserve">IMIS Assistant (G6) </t>
  </si>
  <si>
    <t>Conference Servicing Cost</t>
  </si>
  <si>
    <t>Sub-Total</t>
  </si>
  <si>
    <t xml:space="preserve">TOTAL ADMINISTRATIVE SUPPORT </t>
  </si>
  <si>
    <t>Travel on official business</t>
  </si>
  <si>
    <t>COMPONENT TOTAL</t>
  </si>
  <si>
    <t>CONTRACTUAL COMPONENT</t>
  </si>
  <si>
    <t>Sub-contracts</t>
  </si>
  <si>
    <t>Subcontracts</t>
  </si>
  <si>
    <t>Corporate contracts</t>
  </si>
  <si>
    <t>MEETING PARTICIPATION COMPONENT</t>
  </si>
  <si>
    <t>Travel of Chairperson and Vice-Chairperson</t>
  </si>
  <si>
    <t>EQUIPMENT COMPONENT</t>
  </si>
  <si>
    <t>Expendables</t>
  </si>
  <si>
    <t>Non-Expendable Equipment</t>
  </si>
  <si>
    <t>Premises</t>
  </si>
  <si>
    <t>MISCELLANEOUS COMPONENT</t>
  </si>
  <si>
    <t>Operation and Maintenance of Equipment</t>
  </si>
  <si>
    <t>Maintenance of office premises</t>
  </si>
  <si>
    <t>Rental of photocopiers (office)</t>
  </si>
  <si>
    <t xml:space="preserve">Telecommunication equipment rental </t>
  </si>
  <si>
    <t>Network maintenance</t>
  </si>
  <si>
    <t>Reproduction Costs</t>
  </si>
  <si>
    <t>Sundries</t>
  </si>
  <si>
    <t>GRAND TOTAL</t>
  </si>
  <si>
    <t>COST TO MULTILATERAL FUND</t>
  </si>
  <si>
    <t xml:space="preserve">Previous budget schedule </t>
  </si>
  <si>
    <t>Increase/decrease</t>
  </si>
  <si>
    <t>Senior Project Management Officer (P5)</t>
  </si>
  <si>
    <t xml:space="preserve">Senior Project Management Officer (P5) </t>
  </si>
  <si>
    <t>Senior Administrative &amp; Fund Management Officer (P5)*</t>
  </si>
  <si>
    <t xml:space="preserve">Administrative Assistant (G7) </t>
  </si>
  <si>
    <t xml:space="preserve">Senior Monitoring and Evaluation Officer (P5) </t>
  </si>
  <si>
    <t>Projects and technical reviews etc.</t>
  </si>
  <si>
    <t>Project Personnel (Title &amp; Grade)</t>
  </si>
  <si>
    <t>PERSONNEL COMPONENT</t>
  </si>
  <si>
    <t xml:space="preserve">Temporary Assistance </t>
  </si>
  <si>
    <t>Programme Assistant, Monitoring &amp; Evaluation (G5)</t>
  </si>
  <si>
    <t xml:space="preserve">Meeting Services Assistant (G7) </t>
  </si>
  <si>
    <t xml:space="preserve">Computer Operations Assistant (G6) </t>
  </si>
  <si>
    <t>15</t>
  </si>
  <si>
    <t>16</t>
  </si>
  <si>
    <t>Other expendable equipment (shelves, furnitures)</t>
  </si>
  <si>
    <t>98</t>
  </si>
  <si>
    <t xml:space="preserve">Prior Year </t>
  </si>
  <si>
    <t>Staff training</t>
  </si>
  <si>
    <t>Page 1</t>
  </si>
  <si>
    <t xml:space="preserve">Based on tentative a travel plan schedule </t>
  </si>
  <si>
    <t xml:space="preserve">Based on anticipated needs  </t>
  </si>
  <si>
    <t>Mission costs</t>
  </si>
  <si>
    <t xml:space="preserve">Network meetings (4) </t>
  </si>
  <si>
    <t>Freight charges</t>
  </si>
  <si>
    <t>Programme support costs (9%)</t>
  </si>
  <si>
    <t>Office stationery</t>
  </si>
  <si>
    <t>Various studies</t>
  </si>
  <si>
    <t>Corporate consultancies</t>
  </si>
  <si>
    <t>Hospitality and Entertainment</t>
  </si>
  <si>
    <t>Programme Management Officer (P3) / (P2)</t>
  </si>
  <si>
    <t>Associate Database Officer (P2)</t>
  </si>
  <si>
    <t>Computer expendable (software, accessories, hubs, switches, memory)</t>
  </si>
  <si>
    <t>Computers, printers</t>
  </si>
  <si>
    <t>Difference in cost between P4 and P5 is to be charged to BL 2101</t>
  </si>
  <si>
    <t>Bank charges</t>
  </si>
  <si>
    <t>All staff costs are based on standard salary cost and adjusted based on actual cost with a 3% annual increase</t>
  </si>
  <si>
    <t>Based on anticipated needs (No changes)</t>
  </si>
  <si>
    <t>Based on anticipated needs (DSA delivery)</t>
  </si>
  <si>
    <t>Allocation for four network meetings a year</t>
  </si>
  <si>
    <t>Associate Human Resources Officer (G7)</t>
  </si>
  <si>
    <t xml:space="preserve">Applied to staff cost only </t>
  </si>
  <si>
    <t>Encumbant is at P2 level</t>
  </si>
  <si>
    <t>Administrative cost study**</t>
  </si>
  <si>
    <t>Comments</t>
  </si>
  <si>
    <t xml:space="preserve">Funded from programme support costs </t>
  </si>
  <si>
    <t>Difference</t>
  </si>
  <si>
    <t>Programme Management Officer (P4)</t>
  </si>
  <si>
    <t>Information Network Officer (P4)</t>
  </si>
  <si>
    <t>Information Management Officer (P4)</t>
  </si>
  <si>
    <t xml:space="preserve">Programme Management Officer (P4) </t>
  </si>
  <si>
    <t>Funded from programme support costs</t>
  </si>
  <si>
    <t>Actual</t>
  </si>
  <si>
    <t>Excom costs</t>
  </si>
  <si>
    <t>Revised to P4 effective 2017 with a 3% annual increase</t>
  </si>
  <si>
    <t xml:space="preserve">Approved </t>
  </si>
  <si>
    <t>Proposed</t>
  </si>
  <si>
    <t>Operation Other cost</t>
  </si>
  <si>
    <t>Staff Salary (WAE)</t>
  </si>
  <si>
    <t>Conference Staff travel costs</t>
  </si>
  <si>
    <t>Conference Servicing Cost for two Executive meetings.</t>
  </si>
  <si>
    <t>Executive Committee meetings Budget</t>
  </si>
  <si>
    <t>Individual Contractors</t>
  </si>
  <si>
    <t>Upgrade to G6 from G5 in 2017</t>
  </si>
  <si>
    <t>Programme Assistant (G5) / (G6)</t>
  </si>
  <si>
    <t>GST</t>
  </si>
  <si>
    <t>PST</t>
  </si>
  <si>
    <t>To reverse GST to account receivables</t>
  </si>
  <si>
    <t>To reverse PST to account receivables</t>
  </si>
  <si>
    <t>* Difference in cost between P4 and P5, (US $28,000 )is to be reversed and charged to Treasurer's fee.</t>
  </si>
  <si>
    <t xml:space="preserve">Meeting Services: ExCom </t>
  </si>
  <si>
    <t xml:space="preserve">A </t>
  </si>
  <si>
    <t>B</t>
  </si>
  <si>
    <t>C</t>
  </si>
  <si>
    <t xml:space="preserve">D </t>
  </si>
  <si>
    <t>E</t>
  </si>
  <si>
    <t>G</t>
  </si>
  <si>
    <t>D</t>
  </si>
  <si>
    <t xml:space="preserve">Difference approved/revised 2017 </t>
  </si>
  <si>
    <t>A</t>
  </si>
  <si>
    <t>C=B-A</t>
  </si>
  <si>
    <t>F=E-F</t>
  </si>
  <si>
    <t>UNEP/OzL.Pro/ExCom/77/74</t>
  </si>
  <si>
    <t>Note: Personnel costs under BLs 1100 and 1300 will be reduced by US $280,554 based on 2015 actual cost differentials between staff cost in Montreal and staff cost in Nairobi covered by the Government of Canada.</t>
  </si>
  <si>
    <t>Fixed fees per the agreement with the Treasurer (decision 59/51(b))</t>
  </si>
  <si>
    <t>Computers and printers, etc. (toners, colour printer)</t>
  </si>
  <si>
    <t xml:space="preserve">Executive Committee (3 in 2017, 2018 and 2019) </t>
  </si>
  <si>
    <t>Treasury services (decision 59/51(b))</t>
  </si>
  <si>
    <r>
      <t>Programme Assistant  (G6) (subject to 77</t>
    </r>
    <r>
      <rPr>
        <vertAlign val="superscript"/>
        <sz val="14"/>
        <rFont val="Times New Roman"/>
        <family val="1"/>
      </rPr>
      <t>th</t>
    </r>
    <r>
      <rPr>
        <sz val="14"/>
        <rFont val="Times New Roman"/>
        <family val="1"/>
      </rPr>
      <t xml:space="preserve"> meeting approval)</t>
    </r>
  </si>
  <si>
    <t>Associate Administrative Officer (P2)</t>
  </si>
  <si>
    <t xml:space="preserve">Unrecorded 2015 expenditures </t>
  </si>
  <si>
    <t>Annex I</t>
  </si>
  <si>
    <t xml:space="preserve">** One-off allocation in 2016:  </t>
  </si>
  <si>
    <t>Rental of office premises***</t>
  </si>
  <si>
    <t>***Rental of premises will be offset by US $606,038 (based on 2015) being covered by cost differential with Government of Canada leaving US $52,890 to be charged to the MLF.</t>
  </si>
  <si>
    <t>F</t>
  </si>
  <si>
    <t xml:space="preserve"> REVISED 2016, 2017, 2018  AND PROPOSED 2019 BUDGETS </t>
  </si>
  <si>
    <t>Post cancelled and replaced by  Post 1116 due to  upgrade to P2</t>
  </si>
  <si>
    <t>Post cancelled and replaced by  Post 1115 due to  upgrade to P2</t>
  </si>
  <si>
    <t xml:space="preserve">2017-2018 and 2019 costs based on new TRs </t>
  </si>
  <si>
    <t>2017-2018 and 2019 costs based on new translation rates (TRs) and 3 meetings</t>
  </si>
  <si>
    <t>2016 revised to  include  unrecorded expenditures of  US $74,081</t>
  </si>
  <si>
    <t>2016 revised to  include  unrecorded expenditures of  US $75,156</t>
  </si>
  <si>
    <t>2016 revised budget includes unrecorded expenditures of US $155,760 and new translation rate difference of $30,800/2017-2019 new TRs</t>
  </si>
  <si>
    <r>
      <t>75</t>
    </r>
    <r>
      <rPr>
        <vertAlign val="superscript"/>
        <sz val="14"/>
        <rFont val="Times New Roman"/>
        <family val="1"/>
      </rPr>
      <t>th</t>
    </r>
    <r>
      <rPr>
        <sz val="14"/>
        <rFont val="Times New Roman"/>
        <family val="1"/>
      </rPr>
      <t xml:space="preserve"> meeting expenses of US $77,809 to be reflected in 2016. Based on 3 meeting in 2017-2018 and 2019 </t>
    </r>
  </si>
  <si>
    <t>Based on 3 meetings in  2017-2018 and 2019</t>
  </si>
  <si>
    <t>Based on 3 meetings in 2017-2018 and 2019</t>
  </si>
  <si>
    <t>US $52,890 to be charged to the budget. Balance to be covered by Government of Canada cost differential and allocation to be reduced</t>
  </si>
  <si>
    <t>Covers travel other than  attendance to Executive Committee meetings</t>
  </si>
  <si>
    <t>Travel and DSA for Article 5 delegates to Executive Committee meetings</t>
  </si>
  <si>
    <t>Hospitality costs (3 in 2017, 2018 and 2019)</t>
  </si>
  <si>
    <t xml:space="preserve">ExCom and reports to MOP </t>
  </si>
  <si>
    <t>2016 revised to  include  unrecorded expenditures of  US $21,227 / Downgrade G6 from G7 starting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</si>
</sst>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(* #,##0_);_(* \(#,##0\);_(* &quot;-&quot;??_);_(@_)"/>
    <numFmt numFmtId="167" formatCode="#,##0.00_);\-#,##0.00"/>
    <numFmt numFmtId="168" formatCode="_-&quot;£&quot;* #,##0.00_-;\-&quot;£&quot;* #,##0.00_-;_-&quot;£&quot;* &quot;-&quot;??_-;_-@_-"/>
    <numFmt numFmtId="169" formatCode="General_)"/>
    <numFmt numFmtId="170" formatCode="#."/>
  </numFmts>
  <fonts count="26" x14ac:knownFonts="1">
    <font>
      <sz val="10"/>
      <name val="Times New Roman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0"/>
      <color indexed="8"/>
      <name val="MS Sans Serif"/>
      <family val="2"/>
    </font>
    <font>
      <sz val="12"/>
      <name val="Courier"/>
      <family val="3"/>
    </font>
    <font>
      <sz val="10"/>
      <name val="Arial"/>
      <family val="2"/>
    </font>
    <font>
      <sz val="1"/>
      <color indexed="16"/>
      <name val="Courier"/>
      <family val="3"/>
    </font>
    <font>
      <b/>
      <sz val="1"/>
      <color indexed="16"/>
      <name val="Courier"/>
      <family val="3"/>
    </font>
    <font>
      <sz val="14"/>
      <name val="Times New Roman"/>
      <family val="1"/>
    </font>
    <font>
      <b/>
      <sz val="14"/>
      <name val="Times New Roman"/>
      <family val="1"/>
    </font>
    <font>
      <sz val="14"/>
      <color indexed="8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FF0000"/>
      <name val="Times New Roman"/>
      <family val="1"/>
    </font>
    <font>
      <sz val="11"/>
      <name val="Times New Roman"/>
      <family val="1"/>
    </font>
    <font>
      <sz val="8"/>
      <name val="Verdana"/>
      <family val="2"/>
    </font>
    <font>
      <b/>
      <sz val="14"/>
      <color rgb="FFFF0000"/>
      <name val="Times New Roman"/>
      <family val="1"/>
    </font>
    <font>
      <sz val="14"/>
      <color theme="8" tint="-0.249977111117893"/>
      <name val="Times New Roman"/>
      <family val="1"/>
    </font>
    <font>
      <vertAlign val="superscript"/>
      <sz val="14"/>
      <name val="Times New Roman"/>
      <family val="1"/>
    </font>
    <font>
      <sz val="16"/>
      <name val="Times New Roman"/>
      <family val="1"/>
    </font>
    <font>
      <sz val="16"/>
      <color rgb="FFFF0000"/>
      <name val="Times New Roman"/>
      <family val="1"/>
    </font>
    <font>
      <b/>
      <sz val="16"/>
      <name val="Times New Roman"/>
      <family val="1"/>
    </font>
    <font>
      <sz val="10.5"/>
      <color rgb="FF000000"/>
      <name val="Times New Roman"/>
      <family val="1"/>
    </font>
    <font>
      <sz val="10.5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165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70" fontId="8" fillId="0" borderId="0">
      <protection locked="0"/>
    </xf>
    <xf numFmtId="170" fontId="8" fillId="0" borderId="0">
      <protection locked="0"/>
    </xf>
    <xf numFmtId="170" fontId="9" fillId="0" borderId="0">
      <protection locked="0"/>
    </xf>
    <xf numFmtId="170" fontId="9" fillId="0" borderId="0">
      <protection locked="0"/>
    </xf>
    <xf numFmtId="0" fontId="2" fillId="0" borderId="0"/>
    <xf numFmtId="169" fontId="6" fillId="0" borderId="0"/>
    <xf numFmtId="0" fontId="5" fillId="0" borderId="0"/>
    <xf numFmtId="170" fontId="8" fillId="0" borderId="1">
      <protection locked="0"/>
    </xf>
    <xf numFmtId="0" fontId="1" fillId="0" borderId="0"/>
    <xf numFmtId="165" fontId="1" fillId="0" borderId="0" applyFont="0" applyFill="0" applyBorder="0" applyAlignment="0" applyProtection="0"/>
    <xf numFmtId="0" fontId="17" fillId="0" borderId="0"/>
  </cellStyleXfs>
  <cellXfs count="216">
    <xf numFmtId="0" fontId="0" fillId="0" borderId="0" xfId="0"/>
    <xf numFmtId="0" fontId="3" fillId="0" borderId="0" xfId="0" applyFont="1" applyFill="1" applyBorder="1"/>
    <xf numFmtId="0" fontId="3" fillId="0" borderId="2" xfId="0" applyFont="1" applyFill="1" applyBorder="1"/>
    <xf numFmtId="0" fontId="3" fillId="0" borderId="0" xfId="0" applyFont="1" applyFill="1"/>
    <xf numFmtId="0" fontId="10" fillId="0" borderId="0" xfId="0" applyFont="1" applyFill="1" applyBorder="1"/>
    <xf numFmtId="0" fontId="10" fillId="0" borderId="0" xfId="0" applyFont="1" applyFill="1" applyBorder="1" applyAlignment="1">
      <alignment horizontal="right"/>
    </xf>
    <xf numFmtId="0" fontId="10" fillId="0" borderId="0" xfId="0" applyFont="1" applyFill="1"/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right" vertic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10" fillId="0" borderId="2" xfId="0" applyFont="1" applyFill="1" applyBorder="1" applyAlignment="1">
      <alignment horizontal="left" vertical="top"/>
    </xf>
    <xf numFmtId="0" fontId="10" fillId="0" borderId="2" xfId="0" applyFont="1" applyFill="1" applyBorder="1" applyAlignment="1">
      <alignment vertical="top"/>
    </xf>
    <xf numFmtId="0" fontId="10" fillId="0" borderId="2" xfId="0" applyFont="1" applyFill="1" applyBorder="1" applyAlignment="1">
      <alignment horizontal="center" vertical="top"/>
    </xf>
    <xf numFmtId="0" fontId="10" fillId="0" borderId="3" xfId="0" applyFont="1" applyFill="1" applyBorder="1" applyAlignment="1">
      <alignment horizontal="center" vertical="top"/>
    </xf>
    <xf numFmtId="0" fontId="10" fillId="0" borderId="4" xfId="0" applyFont="1" applyFill="1" applyBorder="1" applyAlignment="1">
      <alignment vertical="top"/>
    </xf>
    <xf numFmtId="9" fontId="10" fillId="0" borderId="2" xfId="0" applyNumberFormat="1" applyFont="1" applyFill="1" applyBorder="1" applyAlignment="1">
      <alignment horizontal="center" vertical="top"/>
    </xf>
    <xf numFmtId="9" fontId="10" fillId="0" borderId="3" xfId="0" applyNumberFormat="1" applyFont="1" applyFill="1" applyBorder="1" applyAlignment="1">
      <alignment horizontal="center" vertical="top"/>
    </xf>
    <xf numFmtId="0" fontId="10" fillId="0" borderId="2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vertical="top"/>
    </xf>
    <xf numFmtId="49" fontId="10" fillId="0" borderId="2" xfId="0" applyNumberFormat="1" applyFont="1" applyFill="1" applyBorder="1" applyAlignment="1">
      <alignment vertical="top"/>
    </xf>
    <xf numFmtId="164" fontId="10" fillId="0" borderId="2" xfId="0" applyNumberFormat="1" applyFont="1" applyFill="1" applyBorder="1" applyAlignment="1">
      <alignment vertical="top"/>
    </xf>
    <xf numFmtId="164" fontId="10" fillId="0" borderId="3" xfId="0" applyNumberFormat="1" applyFont="1" applyFill="1" applyBorder="1" applyAlignment="1">
      <alignment vertical="top"/>
    </xf>
    <xf numFmtId="0" fontId="10" fillId="0" borderId="2" xfId="0" applyFont="1" applyFill="1" applyBorder="1" applyAlignment="1">
      <alignment vertical="top" wrapText="1"/>
    </xf>
    <xf numFmtId="0" fontId="10" fillId="2" borderId="0" xfId="0" applyFont="1" applyFill="1"/>
    <xf numFmtId="164" fontId="10" fillId="0" borderId="2" xfId="8" applyNumberFormat="1" applyFont="1" applyFill="1" applyBorder="1" applyAlignment="1">
      <alignment vertical="top"/>
    </xf>
    <xf numFmtId="0" fontId="11" fillId="0" borderId="2" xfId="0" applyFont="1" applyFill="1" applyBorder="1" applyAlignment="1">
      <alignment horizontal="left" vertical="top"/>
    </xf>
    <xf numFmtId="49" fontId="11" fillId="0" borderId="2" xfId="0" applyNumberFormat="1" applyFont="1" applyFill="1" applyBorder="1" applyAlignment="1">
      <alignment vertical="top"/>
    </xf>
    <xf numFmtId="0" fontId="11" fillId="0" borderId="2" xfId="0" applyFont="1" applyFill="1" applyBorder="1" applyAlignment="1">
      <alignment vertical="top"/>
    </xf>
    <xf numFmtId="164" fontId="11" fillId="0" borderId="2" xfId="0" applyNumberFormat="1" applyFont="1" applyFill="1" applyBorder="1" applyAlignment="1">
      <alignment vertical="top"/>
    </xf>
    <xf numFmtId="164" fontId="11" fillId="0" borderId="3" xfId="0" applyNumberFormat="1" applyFont="1" applyFill="1" applyBorder="1" applyAlignment="1">
      <alignment vertical="top"/>
    </xf>
    <xf numFmtId="3" fontId="10" fillId="0" borderId="2" xfId="0" applyNumberFormat="1" applyFont="1" applyFill="1" applyBorder="1" applyAlignment="1">
      <alignment vertical="top"/>
    </xf>
    <xf numFmtId="3" fontId="10" fillId="0" borderId="3" xfId="0" applyNumberFormat="1" applyFont="1" applyFill="1" applyBorder="1" applyAlignment="1">
      <alignment vertical="top"/>
    </xf>
    <xf numFmtId="0" fontId="10" fillId="0" borderId="2" xfId="0" quotePrefix="1" applyFont="1" applyFill="1" applyBorder="1" applyAlignment="1">
      <alignment vertical="top"/>
    </xf>
    <xf numFmtId="166" fontId="10" fillId="0" borderId="2" xfId="1" applyNumberFormat="1" applyFont="1" applyFill="1" applyBorder="1" applyAlignment="1">
      <alignment vertical="top"/>
    </xf>
    <xf numFmtId="166" fontId="11" fillId="0" borderId="2" xfId="1" applyNumberFormat="1" applyFont="1" applyFill="1" applyBorder="1" applyAlignment="1">
      <alignment vertical="top"/>
    </xf>
    <xf numFmtId="166" fontId="11" fillId="0" borderId="3" xfId="1" applyNumberFormat="1" applyFont="1" applyFill="1" applyBorder="1" applyAlignment="1">
      <alignment vertical="top"/>
    </xf>
    <xf numFmtId="164" fontId="10" fillId="0" borderId="0" xfId="0" applyNumberFormat="1" applyFont="1" applyFill="1" applyBorder="1"/>
    <xf numFmtId="0" fontId="10" fillId="0" borderId="2" xfId="0" quotePrefix="1" applyNumberFormat="1" applyFont="1" applyFill="1" applyBorder="1" applyAlignment="1">
      <alignment horizontal="left" vertical="top"/>
    </xf>
    <xf numFmtId="0" fontId="10" fillId="0" borderId="2" xfId="0" applyNumberFormat="1" applyFont="1" applyFill="1" applyBorder="1" applyAlignment="1">
      <alignment horizontal="left" vertical="top"/>
    </xf>
    <xf numFmtId="164" fontId="10" fillId="0" borderId="2" xfId="0" applyNumberFormat="1" applyFont="1" applyFill="1" applyBorder="1" applyAlignment="1">
      <alignment horizontal="right" vertical="top"/>
    </xf>
    <xf numFmtId="164" fontId="10" fillId="0" borderId="3" xfId="0" applyNumberFormat="1" applyFont="1" applyFill="1" applyBorder="1" applyAlignment="1">
      <alignment horizontal="right" vertical="top"/>
    </xf>
    <xf numFmtId="166" fontId="10" fillId="0" borderId="2" xfId="0" applyNumberFormat="1" applyFont="1" applyFill="1" applyBorder="1" applyAlignment="1">
      <alignment vertical="top"/>
    </xf>
    <xf numFmtId="166" fontId="11" fillId="0" borderId="2" xfId="0" applyNumberFormat="1" applyFont="1" applyFill="1" applyBorder="1" applyAlignment="1">
      <alignment vertical="top"/>
    </xf>
    <xf numFmtId="166" fontId="11" fillId="0" borderId="3" xfId="0" applyNumberFormat="1" applyFont="1" applyFill="1" applyBorder="1" applyAlignment="1">
      <alignment vertical="top"/>
    </xf>
    <xf numFmtId="0" fontId="10" fillId="0" borderId="0" xfId="0" applyFont="1" applyBorder="1" applyAlignment="1">
      <alignment vertical="top"/>
    </xf>
    <xf numFmtId="3" fontId="10" fillId="0" borderId="0" xfId="0" applyNumberFormat="1" applyFont="1" applyFill="1" applyBorder="1" applyAlignment="1">
      <alignment vertical="top"/>
    </xf>
    <xf numFmtId="0" fontId="10" fillId="0" borderId="0" xfId="0" applyFont="1" applyFill="1" applyBorder="1" applyAlignment="1">
      <alignment vertical="top"/>
    </xf>
    <xf numFmtId="166" fontId="10" fillId="0" borderId="0" xfId="1" applyNumberFormat="1" applyFont="1" applyFill="1" applyBorder="1" applyAlignment="1">
      <alignment horizontal="right" vertical="top"/>
    </xf>
    <xf numFmtId="0" fontId="10" fillId="0" borderId="0" xfId="0" applyFont="1" applyFill="1" applyAlignment="1">
      <alignment vertical="top"/>
    </xf>
    <xf numFmtId="164" fontId="11" fillId="0" borderId="0" xfId="0" applyNumberFormat="1" applyFont="1" applyFill="1" applyBorder="1" applyAlignment="1">
      <alignment horizontal="center" vertical="top"/>
    </xf>
    <xf numFmtId="166" fontId="10" fillId="0" borderId="3" xfId="0" applyNumberFormat="1" applyFont="1" applyFill="1" applyBorder="1" applyAlignment="1">
      <alignment vertical="top"/>
    </xf>
    <xf numFmtId="0" fontId="11" fillId="0" borderId="2" xfId="0" quotePrefix="1" applyFont="1" applyFill="1" applyBorder="1" applyAlignment="1">
      <alignment horizontal="left" vertical="top"/>
    </xf>
    <xf numFmtId="166" fontId="10" fillId="0" borderId="3" xfId="1" applyNumberFormat="1" applyFont="1" applyFill="1" applyBorder="1" applyAlignment="1">
      <alignment vertical="top"/>
    </xf>
    <xf numFmtId="166" fontId="10" fillId="0" borderId="0" xfId="0" applyNumberFormat="1" applyFont="1" applyFill="1" applyBorder="1"/>
    <xf numFmtId="166" fontId="10" fillId="3" borderId="2" xfId="0" applyNumberFormat="1" applyFont="1" applyFill="1" applyBorder="1" applyAlignment="1">
      <alignment vertical="top"/>
    </xf>
    <xf numFmtId="0" fontId="11" fillId="0" borderId="0" xfId="0" applyFont="1" applyFill="1" applyBorder="1"/>
    <xf numFmtId="0" fontId="11" fillId="0" borderId="0" xfId="0" applyFont="1" applyFill="1"/>
    <xf numFmtId="3" fontId="10" fillId="0" borderId="2" xfId="1" applyNumberFormat="1" applyFont="1" applyFill="1" applyBorder="1" applyAlignment="1">
      <alignment vertical="top"/>
    </xf>
    <xf numFmtId="166" fontId="10" fillId="0" borderId="2" xfId="0" applyNumberFormat="1" applyFont="1" applyFill="1" applyBorder="1" applyAlignment="1">
      <alignment horizontal="right" vertical="top"/>
    </xf>
    <xf numFmtId="166" fontId="10" fillId="0" borderId="3" xfId="0" applyNumberFormat="1" applyFont="1" applyFill="1" applyBorder="1" applyAlignment="1">
      <alignment horizontal="right" vertical="top"/>
    </xf>
    <xf numFmtId="3" fontId="11" fillId="0" borderId="2" xfId="1" applyNumberFormat="1" applyFont="1" applyFill="1" applyBorder="1" applyAlignment="1">
      <alignment vertical="top"/>
    </xf>
    <xf numFmtId="166" fontId="11" fillId="0" borderId="8" xfId="1" applyNumberFormat="1" applyFont="1" applyFill="1" applyBorder="1" applyAlignment="1">
      <alignment horizontal="right" vertical="top"/>
    </xf>
    <xf numFmtId="166" fontId="11" fillId="0" borderId="5" xfId="1" applyNumberFormat="1" applyFont="1" applyFill="1" applyBorder="1" applyAlignment="1">
      <alignment horizontal="right" vertical="top"/>
    </xf>
    <xf numFmtId="0" fontId="10" fillId="0" borderId="8" xfId="0" applyFont="1" applyFill="1" applyBorder="1" applyAlignment="1">
      <alignment vertical="top"/>
    </xf>
    <xf numFmtId="0" fontId="10" fillId="0" borderId="0" xfId="0" applyFont="1" applyFill="1" applyBorder="1" applyAlignment="1">
      <alignment horizontal="left" vertical="top"/>
    </xf>
    <xf numFmtId="166" fontId="11" fillId="0" borderId="0" xfId="1" applyNumberFormat="1" applyFont="1" applyFill="1" applyBorder="1" applyAlignment="1">
      <alignment horizontal="right" vertical="top"/>
    </xf>
    <xf numFmtId="0" fontId="10" fillId="0" borderId="0" xfId="0" applyFont="1" applyFill="1" applyAlignment="1">
      <alignment horizontal="left"/>
    </xf>
    <xf numFmtId="0" fontId="10" fillId="0" borderId="0" xfId="0" applyFont="1"/>
    <xf numFmtId="0" fontId="13" fillId="0" borderId="0" xfId="0" applyFont="1" applyBorder="1" applyAlignment="1">
      <alignment horizontal="justify" vertical="top" wrapText="1"/>
    </xf>
    <xf numFmtId="0" fontId="14" fillId="0" borderId="7" xfId="0" applyFont="1" applyBorder="1" applyAlignment="1">
      <alignment horizontal="justify" vertical="top" wrapText="1"/>
    </xf>
    <xf numFmtId="0" fontId="13" fillId="0" borderId="7" xfId="0" applyFont="1" applyBorder="1" applyAlignment="1">
      <alignment horizontal="right" vertical="top" wrapText="1" indent="8"/>
    </xf>
    <xf numFmtId="0" fontId="10" fillId="4" borderId="0" xfId="0" applyFont="1" applyFill="1" applyAlignment="1">
      <alignment horizontal="left" vertical="center"/>
    </xf>
    <xf numFmtId="0" fontId="10" fillId="4" borderId="0" xfId="0" applyFont="1" applyFill="1" applyBorder="1"/>
    <xf numFmtId="0" fontId="10" fillId="4" borderId="0" xfId="0" applyFont="1" applyFill="1" applyBorder="1" applyAlignment="1">
      <alignment horizontal="right"/>
    </xf>
    <xf numFmtId="0" fontId="10" fillId="4" borderId="0" xfId="0" applyFont="1" applyFill="1" applyAlignment="1">
      <alignment horizontal="right" vertical="center"/>
    </xf>
    <xf numFmtId="0" fontId="10" fillId="4" borderId="2" xfId="0" applyFont="1" applyFill="1" applyBorder="1" applyAlignment="1">
      <alignment horizontal="left" vertical="top"/>
    </xf>
    <xf numFmtId="49" fontId="10" fillId="4" borderId="2" xfId="0" applyNumberFormat="1" applyFont="1" applyFill="1" applyBorder="1" applyAlignment="1">
      <alignment vertical="top"/>
    </xf>
    <xf numFmtId="0" fontId="10" fillId="4" borderId="2" xfId="0" applyFont="1" applyFill="1" applyBorder="1" applyAlignment="1">
      <alignment vertical="top"/>
    </xf>
    <xf numFmtId="164" fontId="10" fillId="4" borderId="2" xfId="0" applyNumberFormat="1" applyFont="1" applyFill="1" applyBorder="1" applyAlignment="1">
      <alignment vertical="top"/>
    </xf>
    <xf numFmtId="164" fontId="10" fillId="4" borderId="3" xfId="0" applyNumberFormat="1" applyFont="1" applyFill="1" applyBorder="1" applyAlignment="1">
      <alignment vertical="top"/>
    </xf>
    <xf numFmtId="0" fontId="10" fillId="4" borderId="2" xfId="0" applyFont="1" applyFill="1" applyBorder="1" applyAlignment="1">
      <alignment vertical="top" wrapText="1"/>
    </xf>
    <xf numFmtId="167" fontId="12" fillId="4" borderId="0" xfId="10" applyNumberFormat="1" applyFont="1" applyFill="1" applyBorder="1" applyAlignment="1">
      <alignment horizontal="right" vertical="center"/>
    </xf>
    <xf numFmtId="0" fontId="10" fillId="4" borderId="0" xfId="0" applyFont="1" applyFill="1"/>
    <xf numFmtId="0" fontId="10" fillId="4" borderId="0" xfId="0" applyFont="1" applyFill="1" applyBorder="1" applyAlignment="1">
      <alignment vertical="top"/>
    </xf>
    <xf numFmtId="0" fontId="11" fillId="0" borderId="0" xfId="0" applyFont="1" applyFill="1" applyBorder="1" applyAlignment="1">
      <alignment horizontal="center" wrapText="1"/>
    </xf>
    <xf numFmtId="3" fontId="16" fillId="0" borderId="0" xfId="0" applyNumberFormat="1" applyFont="1" applyBorder="1" applyAlignment="1">
      <alignment horizontal="right" vertical="center" wrapText="1"/>
    </xf>
    <xf numFmtId="0" fontId="10" fillId="0" borderId="0" xfId="0" applyFont="1" applyBorder="1"/>
    <xf numFmtId="0" fontId="11" fillId="0" borderId="0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 wrapText="1"/>
    </xf>
    <xf numFmtId="0" fontId="15" fillId="0" borderId="0" xfId="0" applyFont="1" applyFill="1" applyBorder="1" applyAlignment="1">
      <alignment horizontal="left" vertical="top"/>
    </xf>
    <xf numFmtId="166" fontId="18" fillId="0" borderId="6" xfId="1" applyNumberFormat="1" applyFont="1" applyFill="1" applyBorder="1" applyAlignment="1">
      <alignment horizontal="right" vertical="top"/>
    </xf>
    <xf numFmtId="0" fontId="15" fillId="0" borderId="6" xfId="0" applyFont="1" applyFill="1" applyBorder="1" applyAlignment="1">
      <alignment vertical="top"/>
    </xf>
    <xf numFmtId="0" fontId="15" fillId="0" borderId="0" xfId="0" applyFont="1" applyFill="1" applyBorder="1"/>
    <xf numFmtId="0" fontId="15" fillId="0" borderId="0" xfId="0" applyFont="1" applyFill="1"/>
    <xf numFmtId="0" fontId="15" fillId="0" borderId="3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18" fillId="0" borderId="0" xfId="0" applyFont="1" applyFill="1" applyBorder="1" applyAlignment="1">
      <alignment horizontal="center" wrapText="1"/>
    </xf>
    <xf numFmtId="9" fontId="15" fillId="0" borderId="3" xfId="0" applyNumberFormat="1" applyFont="1" applyFill="1" applyBorder="1" applyAlignment="1">
      <alignment horizontal="center" vertical="top"/>
    </xf>
    <xf numFmtId="0" fontId="15" fillId="0" borderId="3" xfId="0" applyFont="1" applyFill="1" applyBorder="1" applyAlignment="1">
      <alignment vertical="top"/>
    </xf>
    <xf numFmtId="164" fontId="15" fillId="0" borderId="3" xfId="0" applyNumberFormat="1" applyFont="1" applyFill="1" applyBorder="1" applyAlignment="1">
      <alignment vertical="top"/>
    </xf>
    <xf numFmtId="3" fontId="15" fillId="0" borderId="0" xfId="0" applyNumberFormat="1" applyFont="1" applyFill="1" applyBorder="1" applyAlignment="1">
      <alignment vertical="top"/>
    </xf>
    <xf numFmtId="166" fontId="15" fillId="0" borderId="3" xfId="0" applyNumberFormat="1" applyFont="1" applyFill="1" applyBorder="1" applyAlignment="1">
      <alignment vertical="top"/>
    </xf>
    <xf numFmtId="166" fontId="15" fillId="0" borderId="3" xfId="0" applyNumberFormat="1" applyFont="1" applyFill="1" applyBorder="1" applyAlignment="1">
      <alignment horizontal="right" vertical="top"/>
    </xf>
    <xf numFmtId="166" fontId="18" fillId="0" borderId="0" xfId="1" applyNumberFormat="1" applyFont="1" applyFill="1" applyBorder="1" applyAlignment="1">
      <alignment horizontal="right" vertical="top"/>
    </xf>
    <xf numFmtId="0" fontId="15" fillId="5" borderId="3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vertical="top"/>
    </xf>
    <xf numFmtId="164" fontId="19" fillId="0" borderId="3" xfId="0" applyNumberFormat="1" applyFont="1" applyFill="1" applyBorder="1" applyAlignment="1">
      <alignment vertical="top"/>
    </xf>
    <xf numFmtId="164" fontId="10" fillId="5" borderId="2" xfId="0" applyNumberFormat="1" applyFont="1" applyFill="1" applyBorder="1" applyAlignment="1">
      <alignment horizontal="right" vertical="top"/>
    </xf>
    <xf numFmtId="0" fontId="10" fillId="5" borderId="0" xfId="0" applyFont="1" applyFill="1"/>
    <xf numFmtId="0" fontId="11" fillId="0" borderId="0" xfId="0" applyFont="1" applyFill="1" applyBorder="1" applyAlignment="1">
      <alignment horizontal="center" wrapText="1"/>
    </xf>
    <xf numFmtId="3" fontId="10" fillId="6" borderId="2" xfId="0" applyNumberFormat="1" applyFont="1" applyFill="1" applyBorder="1" applyAlignment="1">
      <alignment vertical="top"/>
    </xf>
    <xf numFmtId="164" fontId="10" fillId="6" borderId="2" xfId="0" applyNumberFormat="1" applyFont="1" applyFill="1" applyBorder="1" applyAlignment="1">
      <alignment vertical="top"/>
    </xf>
    <xf numFmtId="165" fontId="11" fillId="0" borderId="5" xfId="1" applyNumberFormat="1" applyFont="1" applyFill="1" applyBorder="1" applyAlignment="1">
      <alignment horizontal="right" vertical="top"/>
    </xf>
    <xf numFmtId="166" fontId="11" fillId="0" borderId="6" xfId="1" applyNumberFormat="1" applyFont="1" applyFill="1" applyBorder="1" applyAlignment="1">
      <alignment horizontal="right" vertical="top"/>
    </xf>
    <xf numFmtId="0" fontId="11" fillId="0" borderId="0" xfId="0" applyFont="1" applyFill="1" applyBorder="1" applyAlignment="1">
      <alignment horizontal="center" wrapText="1"/>
    </xf>
    <xf numFmtId="0" fontId="10" fillId="0" borderId="2" xfId="0" applyFont="1" applyFill="1" applyBorder="1"/>
    <xf numFmtId="0" fontId="10" fillId="0" borderId="9" xfId="0" applyFont="1" applyFill="1" applyBorder="1" applyAlignment="1">
      <alignment horizontal="left" vertical="top"/>
    </xf>
    <xf numFmtId="0" fontId="10" fillId="0" borderId="9" xfId="0" applyFont="1" applyFill="1" applyBorder="1" applyAlignment="1">
      <alignment vertical="top"/>
    </xf>
    <xf numFmtId="0" fontId="10" fillId="0" borderId="9" xfId="0" applyFont="1" applyFill="1" applyBorder="1" applyAlignment="1">
      <alignment horizontal="center" vertical="top"/>
    </xf>
    <xf numFmtId="0" fontId="10" fillId="0" borderId="10" xfId="0" applyFont="1" applyFill="1" applyBorder="1" applyAlignment="1">
      <alignment horizontal="center" vertical="top"/>
    </xf>
    <xf numFmtId="0" fontId="15" fillId="5" borderId="10" xfId="0" applyFont="1" applyFill="1" applyBorder="1" applyAlignment="1">
      <alignment horizontal="center" vertical="top"/>
    </xf>
    <xf numFmtId="0" fontId="11" fillId="0" borderId="2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 wrapText="1"/>
    </xf>
    <xf numFmtId="0" fontId="10" fillId="6" borderId="0" xfId="0" applyFont="1" applyFill="1" applyBorder="1" applyAlignment="1">
      <alignment horizontal="left" vertical="top"/>
    </xf>
    <xf numFmtId="166" fontId="10" fillId="6" borderId="0" xfId="1" applyNumberFormat="1" applyFont="1" applyFill="1" applyBorder="1" applyAlignment="1">
      <alignment horizontal="right" vertical="top"/>
    </xf>
    <xf numFmtId="166" fontId="11" fillId="6" borderId="0" xfId="1" applyNumberFormat="1" applyFont="1" applyFill="1" applyBorder="1" applyAlignment="1">
      <alignment horizontal="right" vertical="top"/>
    </xf>
    <xf numFmtId="0" fontId="10" fillId="6" borderId="0" xfId="0" applyFont="1" applyFill="1"/>
    <xf numFmtId="0" fontId="15" fillId="6" borderId="0" xfId="0" applyFont="1" applyFill="1"/>
    <xf numFmtId="0" fontId="10" fillId="6" borderId="0" xfId="0" applyFont="1" applyFill="1" applyBorder="1" applyAlignment="1">
      <alignment vertical="top"/>
    </xf>
    <xf numFmtId="0" fontId="10" fillId="6" borderId="2" xfId="0" applyFont="1" applyFill="1" applyBorder="1" applyAlignment="1">
      <alignment horizontal="left" vertical="top"/>
    </xf>
    <xf numFmtId="0" fontId="10" fillId="6" borderId="2" xfId="0" applyFont="1" applyFill="1" applyBorder="1" applyAlignment="1">
      <alignment vertical="top"/>
    </xf>
    <xf numFmtId="0" fontId="10" fillId="6" borderId="2" xfId="0" applyFont="1" applyFill="1" applyBorder="1" applyAlignment="1">
      <alignment horizontal="center" vertical="top"/>
    </xf>
    <xf numFmtId="0" fontId="15" fillId="6" borderId="3" xfId="0" applyFont="1" applyFill="1" applyBorder="1" applyAlignment="1">
      <alignment horizontal="center" vertical="top"/>
    </xf>
    <xf numFmtId="0" fontId="10" fillId="6" borderId="3" xfId="0" applyFont="1" applyFill="1" applyBorder="1" applyAlignment="1">
      <alignment horizontal="center" vertical="top"/>
    </xf>
    <xf numFmtId="0" fontId="10" fillId="6" borderId="8" xfId="0" applyFont="1" applyFill="1" applyBorder="1" applyAlignment="1">
      <alignment horizontal="left" vertical="top"/>
    </xf>
    <xf numFmtId="0" fontId="10" fillId="6" borderId="8" xfId="0" applyFont="1" applyFill="1" applyBorder="1" applyAlignment="1">
      <alignment vertical="top"/>
    </xf>
    <xf numFmtId="0" fontId="10" fillId="6" borderId="8" xfId="0" applyFont="1" applyFill="1" applyBorder="1" applyAlignment="1">
      <alignment horizontal="center" vertical="top"/>
    </xf>
    <xf numFmtId="0" fontId="15" fillId="6" borderId="5" xfId="0" applyFont="1" applyFill="1" applyBorder="1" applyAlignment="1">
      <alignment horizontal="center" vertical="top"/>
    </xf>
    <xf numFmtId="0" fontId="10" fillId="6" borderId="5" xfId="0" applyFont="1" applyFill="1" applyBorder="1" applyAlignment="1">
      <alignment horizontal="center" vertical="top"/>
    </xf>
    <xf numFmtId="0" fontId="11" fillId="6" borderId="2" xfId="0" applyFont="1" applyFill="1" applyBorder="1" applyAlignment="1">
      <alignment horizontal="left" vertical="top"/>
    </xf>
    <xf numFmtId="0" fontId="11" fillId="6" borderId="2" xfId="0" applyFont="1" applyFill="1" applyBorder="1" applyAlignment="1">
      <alignment vertical="top"/>
    </xf>
    <xf numFmtId="166" fontId="11" fillId="6" borderId="2" xfId="1" applyNumberFormat="1" applyFont="1" applyFill="1" applyBorder="1" applyAlignment="1">
      <alignment horizontal="right" vertical="top"/>
    </xf>
    <xf numFmtId="166" fontId="18" fillId="6" borderId="2" xfId="1" applyNumberFormat="1" applyFont="1" applyFill="1" applyBorder="1" applyAlignment="1">
      <alignment horizontal="right" vertical="top"/>
    </xf>
    <xf numFmtId="0" fontId="11" fillId="6" borderId="9" xfId="0" applyFont="1" applyFill="1" applyBorder="1" applyAlignment="1">
      <alignment horizontal="left" vertical="top"/>
    </xf>
    <xf numFmtId="49" fontId="10" fillId="6" borderId="9" xfId="0" applyNumberFormat="1" applyFont="1" applyFill="1" applyBorder="1" applyAlignment="1">
      <alignment vertical="top"/>
    </xf>
    <xf numFmtId="166" fontId="10" fillId="6" borderId="9" xfId="1" applyNumberFormat="1" applyFont="1" applyFill="1" applyBorder="1" applyAlignment="1">
      <alignment horizontal="right" vertical="top"/>
    </xf>
    <xf numFmtId="166" fontId="15" fillId="6" borderId="9" xfId="1" applyNumberFormat="1" applyFont="1" applyFill="1" applyBorder="1" applyAlignment="1">
      <alignment horizontal="right" vertical="top"/>
    </xf>
    <xf numFmtId="164" fontId="10" fillId="6" borderId="3" xfId="0" applyNumberFormat="1" applyFont="1" applyFill="1" applyBorder="1" applyAlignment="1">
      <alignment vertical="top"/>
    </xf>
    <xf numFmtId="49" fontId="10" fillId="6" borderId="2" xfId="0" applyNumberFormat="1" applyFont="1" applyFill="1" applyBorder="1" applyAlignment="1">
      <alignment vertical="top"/>
    </xf>
    <xf numFmtId="166" fontId="10" fillId="6" borderId="2" xfId="1" applyNumberFormat="1" applyFont="1" applyFill="1" applyBorder="1" applyAlignment="1">
      <alignment horizontal="right" vertical="top"/>
    </xf>
    <xf numFmtId="166" fontId="15" fillId="6" borderId="2" xfId="1" applyNumberFormat="1" applyFont="1" applyFill="1" applyBorder="1" applyAlignment="1">
      <alignment horizontal="right" vertical="top"/>
    </xf>
    <xf numFmtId="3" fontId="10" fillId="0" borderId="0" xfId="0" applyNumberFormat="1" applyFont="1" applyFill="1"/>
    <xf numFmtId="0" fontId="10" fillId="0" borderId="11" xfId="0" applyFont="1" applyFill="1" applyBorder="1"/>
    <xf numFmtId="0" fontId="21" fillId="4" borderId="0" xfId="0" applyFont="1" applyFill="1" applyAlignment="1">
      <alignment horizontal="left" vertical="center"/>
    </xf>
    <xf numFmtId="0" fontId="21" fillId="4" borderId="0" xfId="0" applyFont="1" applyFill="1" applyBorder="1"/>
    <xf numFmtId="0" fontId="21" fillId="4" borderId="0" xfId="0" applyFont="1" applyFill="1" applyBorder="1" applyAlignment="1">
      <alignment horizontal="right"/>
    </xf>
    <xf numFmtId="0" fontId="21" fillId="0" borderId="0" xfId="0" applyFont="1" applyFill="1" applyBorder="1" applyAlignment="1">
      <alignment horizontal="right"/>
    </xf>
    <xf numFmtId="0" fontId="21" fillId="0" borderId="0" xfId="0" applyFont="1" applyFill="1" applyAlignment="1">
      <alignment horizontal="right" vertical="center"/>
    </xf>
    <xf numFmtId="0" fontId="22" fillId="0" borderId="0" xfId="0" applyFont="1" applyFill="1" applyAlignment="1">
      <alignment horizontal="right" vertical="center"/>
    </xf>
    <xf numFmtId="0" fontId="21" fillId="4" borderId="0" xfId="0" applyFont="1" applyFill="1" applyAlignment="1">
      <alignment horizontal="right" vertical="center"/>
    </xf>
    <xf numFmtId="0" fontId="23" fillId="0" borderId="0" xfId="0" applyFont="1" applyFill="1" applyBorder="1" applyAlignment="1">
      <alignment horizontal="center" wrapText="1"/>
    </xf>
    <xf numFmtId="0" fontId="21" fillId="4" borderId="0" xfId="0" applyFont="1" applyFill="1" applyAlignment="1">
      <alignment horizontal="right"/>
    </xf>
    <xf numFmtId="0" fontId="21" fillId="0" borderId="0" xfId="0" applyFont="1" applyFill="1" applyAlignment="1">
      <alignment vertical="top"/>
    </xf>
    <xf numFmtId="0" fontId="10" fillId="0" borderId="2" xfId="0" applyFont="1" applyFill="1" applyBorder="1" applyAlignment="1">
      <alignment horizontal="justify" vertical="top" wrapText="1"/>
    </xf>
    <xf numFmtId="3" fontId="24" fillId="0" borderId="0" xfId="0" applyNumberFormat="1" applyFont="1" applyBorder="1" applyAlignment="1">
      <alignment horizontal="right" vertical="center"/>
    </xf>
    <xf numFmtId="165" fontId="10" fillId="0" borderId="0" xfId="1" applyFont="1" applyFill="1" applyBorder="1"/>
    <xf numFmtId="165" fontId="10" fillId="0" borderId="0" xfId="0" applyNumberFormat="1" applyFont="1" applyFill="1" applyBorder="1"/>
    <xf numFmtId="3" fontId="25" fillId="0" borderId="0" xfId="0" applyNumberFormat="1" applyFont="1" applyBorder="1" applyAlignment="1">
      <alignment horizontal="right" vertical="center"/>
    </xf>
    <xf numFmtId="3" fontId="10" fillId="0" borderId="0" xfId="0" applyNumberFormat="1" applyFont="1" applyFill="1" applyBorder="1"/>
    <xf numFmtId="166" fontId="10" fillId="4" borderId="3" xfId="0" applyNumberFormat="1" applyFont="1" applyFill="1" applyBorder="1" applyAlignment="1">
      <alignment vertical="top"/>
    </xf>
    <xf numFmtId="166" fontId="11" fillId="4" borderId="3" xfId="1" applyNumberFormat="1" applyFont="1" applyFill="1" applyBorder="1" applyAlignment="1">
      <alignment vertical="top"/>
    </xf>
    <xf numFmtId="164" fontId="10" fillId="4" borderId="3" xfId="0" applyNumberFormat="1" applyFont="1" applyFill="1" applyBorder="1" applyAlignment="1">
      <alignment horizontal="right" vertical="top"/>
    </xf>
    <xf numFmtId="164" fontId="10" fillId="4" borderId="2" xfId="0" applyNumberFormat="1" applyFont="1" applyFill="1" applyBorder="1" applyAlignment="1">
      <alignment horizontal="right" vertical="top"/>
    </xf>
    <xf numFmtId="0" fontId="10" fillId="4" borderId="2" xfId="8" applyFont="1" applyFill="1" applyBorder="1" applyAlignment="1">
      <alignment vertical="top"/>
    </xf>
    <xf numFmtId="0" fontId="11" fillId="4" borderId="2" xfId="0" applyFont="1" applyFill="1" applyBorder="1" applyAlignment="1">
      <alignment vertical="top"/>
    </xf>
    <xf numFmtId="0" fontId="10" fillId="4" borderId="10" xfId="0" applyFont="1" applyFill="1" applyBorder="1" applyAlignment="1">
      <alignment horizontal="center" vertical="top"/>
    </xf>
    <xf numFmtId="0" fontId="10" fillId="4" borderId="10" xfId="0" applyFont="1" applyFill="1" applyBorder="1" applyAlignment="1">
      <alignment horizontal="center" vertical="top" wrapText="1"/>
    </xf>
    <xf numFmtId="0" fontId="10" fillId="4" borderId="9" xfId="0" applyFont="1" applyFill="1" applyBorder="1" applyAlignment="1">
      <alignment horizontal="center" vertical="top"/>
    </xf>
    <xf numFmtId="0" fontId="10" fillId="4" borderId="3" xfId="0" applyFont="1" applyFill="1" applyBorder="1" applyAlignment="1">
      <alignment horizontal="center" vertical="top"/>
    </xf>
    <xf numFmtId="9" fontId="10" fillId="4" borderId="3" xfId="0" applyNumberFormat="1" applyFont="1" applyFill="1" applyBorder="1" applyAlignment="1">
      <alignment horizontal="center" vertical="top"/>
    </xf>
    <xf numFmtId="0" fontId="10" fillId="4" borderId="2" xfId="0" applyFont="1" applyFill="1" applyBorder="1" applyAlignment="1">
      <alignment horizontal="left" vertical="top" wrapText="1"/>
    </xf>
    <xf numFmtId="0" fontId="10" fillId="4" borderId="3" xfId="0" applyFont="1" applyFill="1" applyBorder="1" applyAlignment="1">
      <alignment vertical="top"/>
    </xf>
    <xf numFmtId="167" fontId="12" fillId="4" borderId="0" xfId="10" applyNumberFormat="1" applyFont="1" applyFill="1" applyBorder="1" applyAlignment="1">
      <alignment horizontal="left" vertical="center"/>
    </xf>
    <xf numFmtId="49" fontId="11" fillId="4" borderId="2" xfId="0" applyNumberFormat="1" applyFont="1" applyFill="1" applyBorder="1" applyAlignment="1">
      <alignment vertical="top"/>
    </xf>
    <xf numFmtId="0" fontId="11" fillId="4" borderId="0" xfId="0" applyFont="1" applyFill="1" applyBorder="1" applyAlignment="1">
      <alignment horizontal="center" wrapText="1"/>
    </xf>
    <xf numFmtId="164" fontId="11" fillId="4" borderId="3" xfId="0" applyNumberFormat="1" applyFont="1" applyFill="1" applyBorder="1" applyAlignment="1">
      <alignment vertical="top"/>
    </xf>
    <xf numFmtId="3" fontId="10" fillId="4" borderId="3" xfId="0" applyNumberFormat="1" applyFont="1" applyFill="1" applyBorder="1" applyAlignment="1">
      <alignment vertical="top"/>
    </xf>
    <xf numFmtId="166" fontId="11" fillId="4" borderId="2" xfId="1" applyNumberFormat="1" applyFont="1" applyFill="1" applyBorder="1" applyAlignment="1">
      <alignment vertical="top"/>
    </xf>
    <xf numFmtId="166" fontId="11" fillId="4" borderId="3" xfId="0" applyNumberFormat="1" applyFont="1" applyFill="1" applyBorder="1" applyAlignment="1">
      <alignment vertical="top"/>
    </xf>
    <xf numFmtId="3" fontId="10" fillId="4" borderId="0" xfId="0" applyNumberFormat="1" applyFont="1" applyFill="1" applyBorder="1" applyAlignment="1">
      <alignment vertical="top"/>
    </xf>
    <xf numFmtId="166" fontId="10" fillId="4" borderId="3" xfId="1" applyNumberFormat="1" applyFont="1" applyFill="1" applyBorder="1" applyAlignment="1">
      <alignment vertical="top"/>
    </xf>
    <xf numFmtId="166" fontId="10" fillId="4" borderId="2" xfId="0" applyNumberFormat="1" applyFont="1" applyFill="1" applyBorder="1" applyAlignment="1">
      <alignment vertical="top"/>
    </xf>
    <xf numFmtId="166" fontId="11" fillId="4" borderId="2" xfId="0" applyNumberFormat="1" applyFont="1" applyFill="1" applyBorder="1" applyAlignment="1">
      <alignment vertical="top"/>
    </xf>
    <xf numFmtId="166" fontId="10" fillId="4" borderId="3" xfId="0" applyNumberFormat="1" applyFont="1" applyFill="1" applyBorder="1" applyAlignment="1">
      <alignment horizontal="right" vertical="top"/>
    </xf>
    <xf numFmtId="166" fontId="11" fillId="4" borderId="5" xfId="1" applyNumberFormat="1" applyFont="1" applyFill="1" applyBorder="1" applyAlignment="1">
      <alignment horizontal="right" vertical="top"/>
    </xf>
    <xf numFmtId="166" fontId="18" fillId="4" borderId="6" xfId="1" applyNumberFormat="1" applyFont="1" applyFill="1" applyBorder="1" applyAlignment="1">
      <alignment horizontal="right" vertical="top"/>
    </xf>
    <xf numFmtId="166" fontId="18" fillId="4" borderId="0" xfId="1" applyNumberFormat="1" applyFont="1" applyFill="1" applyBorder="1" applyAlignment="1">
      <alignment horizontal="right" vertical="top"/>
    </xf>
    <xf numFmtId="0" fontId="10" fillId="4" borderId="5" xfId="0" applyFont="1" applyFill="1" applyBorder="1" applyAlignment="1">
      <alignment horizontal="center" vertical="top"/>
    </xf>
    <xf numFmtId="166" fontId="11" fillId="4" borderId="2" xfId="1" applyNumberFormat="1" applyFont="1" applyFill="1" applyBorder="1" applyAlignment="1">
      <alignment horizontal="right" vertical="top"/>
    </xf>
    <xf numFmtId="166" fontId="10" fillId="4" borderId="9" xfId="1" applyNumberFormat="1" applyFont="1" applyFill="1" applyBorder="1" applyAlignment="1">
      <alignment horizontal="right" vertical="top"/>
    </xf>
    <xf numFmtId="166" fontId="10" fillId="4" borderId="2" xfId="1" applyNumberFormat="1" applyFont="1" applyFill="1" applyBorder="1" applyAlignment="1">
      <alignment horizontal="right" vertical="top"/>
    </xf>
    <xf numFmtId="166" fontId="11" fillId="4" borderId="0" xfId="1" applyNumberFormat="1" applyFont="1" applyFill="1" applyBorder="1" applyAlignment="1">
      <alignment horizontal="right" vertical="top"/>
    </xf>
    <xf numFmtId="0" fontId="10" fillId="0" borderId="10" xfId="0" applyFont="1" applyFill="1" applyBorder="1" applyAlignment="1">
      <alignment horizontal="center" vertical="top" wrapText="1"/>
    </xf>
    <xf numFmtId="0" fontId="21" fillId="0" borderId="0" xfId="0" applyFont="1" applyFill="1" applyAlignment="1">
      <alignment horizontal="left" vertical="top"/>
    </xf>
    <xf numFmtId="0" fontId="11" fillId="4" borderId="2" xfId="0" applyFont="1" applyFill="1" applyBorder="1" applyAlignment="1">
      <alignment horizontal="center" wrapText="1"/>
    </xf>
    <xf numFmtId="166" fontId="15" fillId="0" borderId="0" xfId="0" applyNumberFormat="1" applyFont="1" applyFill="1"/>
    <xf numFmtId="0" fontId="10" fillId="0" borderId="0" xfId="0" applyFont="1" applyFill="1" applyAlignment="1">
      <alignment horizontal="right" vertical="top"/>
    </xf>
    <xf numFmtId="0" fontId="23" fillId="0" borderId="0" xfId="0" applyFont="1" applyFill="1" applyBorder="1" applyAlignment="1">
      <alignment horizontal="center" wrapText="1"/>
    </xf>
    <xf numFmtId="0" fontId="23" fillId="4" borderId="0" xfId="0" applyFont="1" applyFill="1" applyAlignment="1">
      <alignment horizontal="center" vertical="top"/>
    </xf>
    <xf numFmtId="0" fontId="10" fillId="0" borderId="0" xfId="0" applyFont="1" applyFill="1" applyBorder="1" applyAlignment="1">
      <alignment horizontal="right" vertical="top" wrapText="1"/>
    </xf>
    <xf numFmtId="0" fontId="21" fillId="0" borderId="0" xfId="0" applyFont="1" applyFill="1" applyAlignment="1">
      <alignment horizontal="left" vertical="top"/>
    </xf>
    <xf numFmtId="0" fontId="21" fillId="4" borderId="0" xfId="0" applyFont="1" applyFill="1" applyAlignment="1">
      <alignment horizontal="left" vertical="top"/>
    </xf>
    <xf numFmtId="0" fontId="21" fillId="4" borderId="0" xfId="0" applyFont="1" applyFill="1" applyBorder="1" applyAlignment="1">
      <alignment horizontal="left" vertical="top"/>
    </xf>
    <xf numFmtId="0" fontId="11" fillId="6" borderId="0" xfId="0" applyFont="1" applyFill="1" applyBorder="1" applyAlignment="1">
      <alignment horizontal="center" vertical="top"/>
    </xf>
  </cellXfs>
  <cellStyles count="15">
    <cellStyle name="Comma" xfId="1" builtinId="3"/>
    <cellStyle name="Comma 2" xfId="2"/>
    <cellStyle name="Comma 3" xfId="13"/>
    <cellStyle name="Currency 2" xfId="3"/>
    <cellStyle name="Date" xfId="4"/>
    <cellStyle name="Fixed" xfId="5"/>
    <cellStyle name="Heading1" xfId="6"/>
    <cellStyle name="Heading2" xfId="7"/>
    <cellStyle name="Normal" xfId="0" builtinId="0"/>
    <cellStyle name="Normal 2" xfId="8"/>
    <cellStyle name="Normal 3" xfId="9"/>
    <cellStyle name="Normal 4" xfId="12"/>
    <cellStyle name="Normal 4 2" xfId="14"/>
    <cellStyle name="Normal_Sheet1" xfId="10"/>
    <cellStyle name="Total 2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350"/>
  <sheetViews>
    <sheetView tabSelected="1" topLeftCell="A12" zoomScale="50" zoomScaleNormal="50" zoomScaleSheetLayoutView="100" workbookViewId="0">
      <pane ySplit="1" topLeftCell="A13" activePane="bottomLeft" state="frozen"/>
      <selection activeCell="A12" sqref="A12"/>
      <selection pane="bottomLeft" activeCell="C26" sqref="C26"/>
    </sheetView>
  </sheetViews>
  <sheetFormatPr defaultColWidth="9.33203125" defaultRowHeight="18.75" x14ac:dyDescent="0.3"/>
  <cols>
    <col min="1" max="1" width="11.6640625" style="67" customWidth="1"/>
    <col min="2" max="2" width="9.83203125" style="6" customWidth="1"/>
    <col min="3" max="3" width="79.5" style="6" customWidth="1"/>
    <col min="4" max="5" width="21.83203125" style="6" hidden="1" customWidth="1"/>
    <col min="6" max="11" width="21.1640625" style="6" hidden="1" customWidth="1"/>
    <col min="12" max="13" width="21" style="6" hidden="1" customWidth="1"/>
    <col min="14" max="14" width="21" style="95" hidden="1" customWidth="1"/>
    <col min="15" max="15" width="23.1640625" style="95" customWidth="1"/>
    <col min="16" max="16" width="19.6640625" style="95" hidden="1" customWidth="1"/>
    <col min="17" max="17" width="21" style="95" customWidth="1"/>
    <col min="18" max="18" width="21" style="83" customWidth="1"/>
    <col min="19" max="19" width="21" style="6" customWidth="1"/>
    <col min="20" max="20" width="21" style="6" hidden="1" customWidth="1"/>
    <col min="21" max="21" width="26.83203125" style="6" hidden="1" customWidth="1"/>
    <col min="22" max="22" width="21" style="6" customWidth="1"/>
    <col min="23" max="23" width="21.1640625" style="6" customWidth="1"/>
    <col min="24" max="25" width="21.1640625" style="6" hidden="1" customWidth="1"/>
    <col min="26" max="26" width="21" style="6" customWidth="1"/>
    <col min="27" max="27" width="141.83203125" style="6" customWidth="1"/>
    <col min="28" max="28" width="13.6640625" style="6" customWidth="1"/>
    <col min="29" max="29" width="19.5" style="6" customWidth="1"/>
    <col min="30" max="30" width="18.33203125" style="6" customWidth="1"/>
    <col min="31" max="35" width="9.33203125" style="6" customWidth="1"/>
    <col min="36" max="36" width="10.83203125" style="6" customWidth="1"/>
    <col min="37" max="60" width="9.33203125" style="6" customWidth="1"/>
    <col min="61" max="16384" width="9.33203125" style="6"/>
  </cols>
  <sheetData>
    <row r="1" spans="1:51" x14ac:dyDescent="0.3">
      <c r="A1" s="7"/>
      <c r="B1" s="4"/>
      <c r="C1" s="4"/>
      <c r="D1" s="4"/>
      <c r="E1" s="4"/>
      <c r="F1" s="5"/>
      <c r="G1" s="5"/>
      <c r="H1" s="5"/>
      <c r="I1" s="5"/>
      <c r="J1" s="5"/>
      <c r="K1" s="5"/>
      <c r="L1" s="8"/>
      <c r="M1" s="8"/>
      <c r="N1" s="97"/>
      <c r="O1" s="97"/>
      <c r="P1" s="97"/>
      <c r="Q1" s="97"/>
      <c r="R1" s="75"/>
      <c r="S1" s="8"/>
      <c r="T1" s="8"/>
      <c r="U1" s="8"/>
      <c r="V1" s="8"/>
      <c r="W1" s="8"/>
      <c r="X1" s="8"/>
      <c r="Y1" s="8"/>
      <c r="Z1" s="8"/>
      <c r="AB1" s="4"/>
      <c r="AC1" s="4"/>
      <c r="AD1" s="4"/>
      <c r="AE1" s="4"/>
    </row>
    <row r="2" spans="1:51" ht="20.25" x14ac:dyDescent="0.3">
      <c r="A2" s="72"/>
      <c r="B2" s="73"/>
      <c r="C2" s="73"/>
      <c r="D2" s="73"/>
      <c r="E2" s="73"/>
      <c r="F2" s="74"/>
      <c r="G2" s="74"/>
      <c r="H2" s="74"/>
      <c r="I2" s="5"/>
      <c r="J2" s="5"/>
      <c r="K2" s="5"/>
      <c r="L2" s="8"/>
      <c r="M2" s="8"/>
      <c r="N2" s="97"/>
      <c r="O2" s="97"/>
      <c r="P2" s="97"/>
      <c r="Q2" s="97"/>
      <c r="R2" s="75"/>
      <c r="S2" s="75"/>
      <c r="T2" s="75"/>
      <c r="U2" s="75"/>
      <c r="V2" s="75"/>
      <c r="W2" s="75"/>
      <c r="X2" s="75"/>
      <c r="Y2" s="75"/>
      <c r="Z2" s="75"/>
      <c r="AA2" s="163" t="s">
        <v>137</v>
      </c>
      <c r="AB2" s="4"/>
      <c r="AC2" s="4"/>
      <c r="AD2" s="4"/>
      <c r="AE2" s="4"/>
    </row>
    <row r="3" spans="1:51" ht="20.25" x14ac:dyDescent="0.3">
      <c r="A3" s="155"/>
      <c r="B3" s="156"/>
      <c r="C3" s="156"/>
      <c r="D3" s="156"/>
      <c r="E3" s="156"/>
      <c r="F3" s="157"/>
      <c r="G3" s="157"/>
      <c r="H3" s="157"/>
      <c r="I3" s="158"/>
      <c r="J3" s="158"/>
      <c r="K3" s="158"/>
      <c r="L3" s="159"/>
      <c r="M3" s="159"/>
      <c r="N3" s="160"/>
      <c r="O3" s="160"/>
      <c r="P3" s="160"/>
      <c r="Q3" s="160"/>
      <c r="R3" s="161"/>
      <c r="S3" s="161"/>
      <c r="T3" s="161"/>
      <c r="U3" s="161"/>
      <c r="V3" s="161"/>
      <c r="W3" s="161"/>
      <c r="X3" s="161"/>
      <c r="Y3" s="161"/>
      <c r="Z3" s="161"/>
      <c r="AA3" s="157" t="s">
        <v>146</v>
      </c>
      <c r="AB3" s="4"/>
      <c r="AC3" s="4"/>
      <c r="AD3" s="4"/>
      <c r="AE3" s="4"/>
    </row>
    <row r="4" spans="1:51" ht="20.25" x14ac:dyDescent="0.3">
      <c r="A4" s="155"/>
      <c r="B4" s="156"/>
      <c r="C4" s="156"/>
      <c r="D4" s="156"/>
      <c r="E4" s="156"/>
      <c r="F4" s="157"/>
      <c r="G4" s="157"/>
      <c r="H4" s="157"/>
      <c r="I4" s="158"/>
      <c r="J4" s="158"/>
      <c r="K4" s="158"/>
      <c r="L4" s="159"/>
      <c r="M4" s="159"/>
      <c r="N4" s="160"/>
      <c r="O4" s="160"/>
      <c r="P4" s="160"/>
      <c r="Q4" s="160"/>
      <c r="R4" s="161"/>
      <c r="S4" s="161"/>
      <c r="T4" s="161"/>
      <c r="U4" s="161"/>
      <c r="V4" s="161"/>
      <c r="W4" s="161"/>
      <c r="X4" s="161"/>
      <c r="Y4" s="161"/>
      <c r="Z4" s="161"/>
      <c r="AA4" s="161" t="s">
        <v>74</v>
      </c>
      <c r="AB4" s="4"/>
      <c r="AC4" s="4"/>
      <c r="AD4" s="4"/>
      <c r="AE4" s="4"/>
    </row>
    <row r="5" spans="1:51" ht="20.25" x14ac:dyDescent="0.3">
      <c r="A5" s="155"/>
      <c r="B5" s="156"/>
      <c r="C5" s="156"/>
      <c r="D5" s="156"/>
      <c r="E5" s="156"/>
      <c r="F5" s="157"/>
      <c r="G5" s="157"/>
      <c r="H5" s="157"/>
      <c r="I5" s="158"/>
      <c r="J5" s="158"/>
      <c r="K5" s="158"/>
      <c r="L5" s="159"/>
      <c r="M5" s="159"/>
      <c r="N5" s="160"/>
      <c r="O5" s="160"/>
      <c r="P5" s="160"/>
      <c r="Q5" s="160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4"/>
      <c r="AC5" s="4"/>
      <c r="AD5" s="4"/>
      <c r="AE5" s="4"/>
    </row>
    <row r="6" spans="1:51" s="10" customFormat="1" ht="20.25" x14ac:dyDescent="0.3">
      <c r="A6" s="210" t="s">
        <v>146</v>
      </c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  <c r="O6" s="210"/>
      <c r="P6" s="210"/>
      <c r="Q6" s="210"/>
      <c r="R6" s="210"/>
      <c r="S6" s="210"/>
      <c r="T6" s="210"/>
      <c r="U6" s="210"/>
      <c r="V6" s="210"/>
      <c r="W6" s="210"/>
      <c r="X6" s="210"/>
      <c r="Y6" s="210"/>
      <c r="Z6" s="210"/>
      <c r="AA6" s="210"/>
      <c r="AB6" s="9"/>
      <c r="AC6" s="9"/>
      <c r="AD6" s="9"/>
      <c r="AE6" s="9"/>
    </row>
    <row r="7" spans="1:51" ht="20.25" x14ac:dyDescent="0.3">
      <c r="A7" s="209" t="s">
        <v>151</v>
      </c>
      <c r="B7" s="209"/>
      <c r="C7" s="209"/>
      <c r="D7" s="209"/>
      <c r="E7" s="209"/>
      <c r="F7" s="209"/>
      <c r="G7" s="209"/>
      <c r="H7" s="209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09"/>
      <c r="V7" s="209"/>
      <c r="W7" s="209"/>
      <c r="X7" s="209"/>
      <c r="Y7" s="209"/>
      <c r="Z7" s="209"/>
      <c r="AA7" s="209"/>
      <c r="AB7" s="4"/>
      <c r="AC7" s="4"/>
      <c r="AD7" s="4"/>
      <c r="AE7" s="4"/>
    </row>
    <row r="8" spans="1:51" x14ac:dyDescent="0.3">
      <c r="A8" s="85"/>
      <c r="B8" s="85"/>
      <c r="C8" s="85"/>
      <c r="D8" s="85"/>
      <c r="E8" s="85"/>
      <c r="F8" s="89"/>
      <c r="G8" s="85"/>
      <c r="H8" s="111"/>
      <c r="I8" s="111"/>
      <c r="J8" s="111"/>
      <c r="K8" s="116"/>
      <c r="L8" s="111"/>
      <c r="M8" s="116"/>
      <c r="N8" s="98"/>
      <c r="O8" s="98"/>
      <c r="P8" s="98"/>
      <c r="Q8" s="98"/>
      <c r="R8" s="186"/>
      <c r="S8" s="85"/>
      <c r="T8" s="111"/>
      <c r="U8" s="124"/>
      <c r="V8" s="90"/>
      <c r="W8" s="85"/>
      <c r="X8" s="111"/>
      <c r="Y8" s="124"/>
      <c r="Z8" s="88"/>
      <c r="AA8" s="85"/>
      <c r="AB8" s="4"/>
      <c r="AC8" s="4"/>
      <c r="AD8" s="4"/>
      <c r="AE8" s="4"/>
    </row>
    <row r="9" spans="1:51" ht="20.25" x14ac:dyDescent="0.3">
      <c r="A9" s="124"/>
      <c r="B9" s="124"/>
      <c r="C9" s="162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98"/>
      <c r="O9" s="98"/>
      <c r="P9" s="98"/>
      <c r="Q9" s="98"/>
      <c r="R9" s="186"/>
      <c r="S9" s="124"/>
      <c r="T9" s="124"/>
      <c r="U9" s="124"/>
      <c r="V9" s="124"/>
      <c r="W9" s="124"/>
      <c r="X9" s="124"/>
      <c r="Y9" s="124"/>
      <c r="Z9" s="124"/>
      <c r="AA9" s="124"/>
      <c r="AB9" s="4"/>
      <c r="AC9" s="4"/>
      <c r="AD9" s="4"/>
      <c r="AE9" s="4"/>
    </row>
    <row r="10" spans="1:51" s="117" customFormat="1" x14ac:dyDescent="0.3">
      <c r="A10" s="123"/>
      <c r="B10" s="123"/>
      <c r="C10" s="123"/>
      <c r="D10" s="123"/>
      <c r="E10" s="123"/>
      <c r="F10" s="123"/>
      <c r="G10" s="123" t="s">
        <v>126</v>
      </c>
      <c r="H10" s="123" t="s">
        <v>127</v>
      </c>
      <c r="I10" s="123" t="s">
        <v>128</v>
      </c>
      <c r="J10" s="123" t="s">
        <v>129</v>
      </c>
      <c r="K10" s="123" t="s">
        <v>126</v>
      </c>
      <c r="L10" s="123" t="s">
        <v>132</v>
      </c>
      <c r="M10" s="123" t="s">
        <v>130</v>
      </c>
      <c r="N10" s="123" t="s">
        <v>127</v>
      </c>
      <c r="O10" s="206" t="s">
        <v>134</v>
      </c>
      <c r="P10" s="206" t="s">
        <v>127</v>
      </c>
      <c r="Q10" s="206" t="s">
        <v>127</v>
      </c>
      <c r="R10" s="206" t="s">
        <v>128</v>
      </c>
      <c r="S10" s="206" t="s">
        <v>132</v>
      </c>
      <c r="T10" s="206"/>
      <c r="U10" s="206" t="s">
        <v>135</v>
      </c>
      <c r="V10" s="206" t="s">
        <v>130</v>
      </c>
      <c r="W10" s="206" t="s">
        <v>150</v>
      </c>
      <c r="X10" s="206"/>
      <c r="Y10" s="206" t="s">
        <v>136</v>
      </c>
      <c r="Z10" s="206" t="s">
        <v>131</v>
      </c>
      <c r="AA10" s="123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154"/>
    </row>
    <row r="11" spans="1:51" ht="44.25" customHeight="1" x14ac:dyDescent="0.3">
      <c r="A11" s="118"/>
      <c r="B11" s="119"/>
      <c r="C11" s="119"/>
      <c r="D11" s="120" t="s">
        <v>13</v>
      </c>
      <c r="E11" s="120" t="s">
        <v>14</v>
      </c>
      <c r="F11" s="120" t="s">
        <v>107</v>
      </c>
      <c r="G11" s="120" t="s">
        <v>13</v>
      </c>
      <c r="H11" s="120" t="s">
        <v>14</v>
      </c>
      <c r="I11" s="121" t="s">
        <v>107</v>
      </c>
      <c r="J11" s="121" t="s">
        <v>101</v>
      </c>
      <c r="K11" s="121"/>
      <c r="L11" s="121" t="s">
        <v>13</v>
      </c>
      <c r="M11" s="121" t="s">
        <v>14</v>
      </c>
      <c r="N11" s="122"/>
      <c r="O11" s="121" t="s">
        <v>13</v>
      </c>
      <c r="P11" s="204" t="s">
        <v>145</v>
      </c>
      <c r="Q11" s="121" t="s">
        <v>14</v>
      </c>
      <c r="R11" s="177" t="s">
        <v>110</v>
      </c>
      <c r="S11" s="177" t="s">
        <v>14</v>
      </c>
      <c r="T11" s="177" t="s">
        <v>101</v>
      </c>
      <c r="U11" s="178" t="s">
        <v>133</v>
      </c>
      <c r="V11" s="177" t="s">
        <v>110</v>
      </c>
      <c r="W11" s="177" t="s">
        <v>14</v>
      </c>
      <c r="X11" s="177" t="s">
        <v>101</v>
      </c>
      <c r="Y11" s="177"/>
      <c r="Z11" s="177" t="s">
        <v>111</v>
      </c>
      <c r="AA11" s="179" t="s">
        <v>99</v>
      </c>
      <c r="AB11" s="73"/>
      <c r="AC11" s="73"/>
      <c r="AD11" s="73"/>
      <c r="AE11" s="73"/>
    </row>
    <row r="12" spans="1:51" x14ac:dyDescent="0.3">
      <c r="A12" s="11"/>
      <c r="B12" s="12"/>
      <c r="C12" s="12"/>
      <c r="D12" s="13">
        <v>2014</v>
      </c>
      <c r="E12" s="13">
        <v>2014</v>
      </c>
      <c r="F12" s="13">
        <v>2014</v>
      </c>
      <c r="G12" s="13">
        <v>2015</v>
      </c>
      <c r="H12" s="13">
        <v>2015</v>
      </c>
      <c r="I12" s="13">
        <v>2015</v>
      </c>
      <c r="J12" s="14">
        <v>2015</v>
      </c>
      <c r="K12" s="14"/>
      <c r="L12" s="14">
        <v>2016</v>
      </c>
      <c r="M12" s="14">
        <v>2016</v>
      </c>
      <c r="N12" s="106"/>
      <c r="O12" s="14">
        <v>2016</v>
      </c>
      <c r="P12" s="14"/>
      <c r="Q12" s="14">
        <v>2016</v>
      </c>
      <c r="R12" s="180">
        <v>2017</v>
      </c>
      <c r="S12" s="180">
        <v>2017</v>
      </c>
      <c r="T12" s="180">
        <v>2017</v>
      </c>
      <c r="U12" s="180"/>
      <c r="V12" s="180">
        <v>2018</v>
      </c>
      <c r="W12" s="180">
        <v>2018</v>
      </c>
      <c r="X12" s="180">
        <v>2018</v>
      </c>
      <c r="Y12" s="180"/>
      <c r="Z12" s="180">
        <v>2019</v>
      </c>
      <c r="AA12" s="78"/>
      <c r="AB12" s="73"/>
      <c r="AC12" s="73"/>
      <c r="AD12" s="73"/>
      <c r="AE12" s="73"/>
    </row>
    <row r="13" spans="1:51" x14ac:dyDescent="0.3">
      <c r="A13" s="11">
        <v>10</v>
      </c>
      <c r="B13" s="12" t="s">
        <v>63</v>
      </c>
      <c r="C13" s="15"/>
      <c r="D13" s="16"/>
      <c r="E13" s="16"/>
      <c r="F13" s="16"/>
      <c r="G13" s="16"/>
      <c r="H13" s="16"/>
      <c r="I13" s="17"/>
      <c r="J13" s="17"/>
      <c r="K13" s="17"/>
      <c r="L13" s="17"/>
      <c r="M13" s="17"/>
      <c r="N13" s="99"/>
      <c r="O13" s="17"/>
      <c r="P13" s="17"/>
      <c r="Q13" s="17"/>
      <c r="R13" s="181"/>
      <c r="S13" s="181"/>
      <c r="T13" s="181"/>
      <c r="U13" s="181"/>
      <c r="V13" s="181"/>
      <c r="W13" s="181"/>
      <c r="X13" s="181"/>
      <c r="Y13" s="181"/>
      <c r="Z13" s="181"/>
      <c r="AA13" s="182"/>
      <c r="AB13" s="73"/>
      <c r="AC13" s="73"/>
      <c r="AD13" s="73"/>
      <c r="AE13" s="73"/>
    </row>
    <row r="14" spans="1:51" x14ac:dyDescent="0.3">
      <c r="A14" s="11">
        <v>1100</v>
      </c>
      <c r="B14" s="12" t="s">
        <v>62</v>
      </c>
      <c r="C14" s="12"/>
      <c r="D14" s="12"/>
      <c r="E14" s="12"/>
      <c r="F14" s="12"/>
      <c r="G14" s="12"/>
      <c r="H14" s="12"/>
      <c r="I14" s="19"/>
      <c r="J14" s="19"/>
      <c r="K14" s="19"/>
      <c r="L14" s="19"/>
      <c r="M14" s="19"/>
      <c r="N14" s="100"/>
      <c r="O14" s="19"/>
      <c r="P14" s="19"/>
      <c r="Q14" s="19"/>
      <c r="R14" s="183"/>
      <c r="S14" s="183"/>
      <c r="T14" s="183"/>
      <c r="U14" s="183"/>
      <c r="V14" s="183"/>
      <c r="W14" s="183"/>
      <c r="X14" s="183"/>
      <c r="Y14" s="183"/>
      <c r="Z14" s="183"/>
      <c r="AA14" s="78"/>
      <c r="AB14" s="82"/>
      <c r="AC14" s="73"/>
      <c r="AD14" s="73"/>
      <c r="AE14" s="73"/>
    </row>
    <row r="15" spans="1:51" ht="37.5" x14ac:dyDescent="0.3">
      <c r="A15" s="11"/>
      <c r="B15" s="20" t="s">
        <v>0</v>
      </c>
      <c r="C15" s="12" t="s">
        <v>21</v>
      </c>
      <c r="D15" s="21">
        <v>251635.39713378146</v>
      </c>
      <c r="E15" s="21">
        <v>251635.39713378146</v>
      </c>
      <c r="F15" s="21">
        <v>239732.0900000002</v>
      </c>
      <c r="G15" s="21">
        <f>251635.397*1.03</f>
        <v>259184.45891000002</v>
      </c>
      <c r="H15" s="21">
        <f>251635.397*1.03</f>
        <v>259184.45891000002</v>
      </c>
      <c r="I15" s="21">
        <v>214482.90999999997</v>
      </c>
      <c r="J15" s="22">
        <f>+H15-I15</f>
        <v>44701.548910000041</v>
      </c>
      <c r="K15" s="22"/>
      <c r="L15" s="22">
        <v>266959.9926773</v>
      </c>
      <c r="M15" s="22">
        <f t="shared" ref="M15:M27" si="0">+G15*1.03</f>
        <v>266959.9926773</v>
      </c>
      <c r="N15" s="108">
        <f t="shared" ref="N15:N58" si="1">+L15-M15</f>
        <v>0</v>
      </c>
      <c r="O15" s="22">
        <v>266959.9926773</v>
      </c>
      <c r="P15" s="22"/>
      <c r="Q15" s="22">
        <v>266959.9926773</v>
      </c>
      <c r="R15" s="80">
        <v>274968.79245761898</v>
      </c>
      <c r="S15" s="80">
        <f>+M15*1.03</f>
        <v>274968.79245761898</v>
      </c>
      <c r="T15" s="80">
        <f>+R15-S15</f>
        <v>0</v>
      </c>
      <c r="U15" s="80">
        <f>SUM(S15-R15)</f>
        <v>0</v>
      </c>
      <c r="V15" s="80">
        <v>283217.85623134754</v>
      </c>
      <c r="W15" s="80">
        <f t="shared" ref="W15:W24" si="2">+S15*1.03</f>
        <v>283217.85623134754</v>
      </c>
      <c r="X15" s="80">
        <f>+V15-W15</f>
        <v>0</v>
      </c>
      <c r="Y15" s="80">
        <f>SUM(W15-V15)</f>
        <v>0</v>
      </c>
      <c r="Z15" s="80">
        <f t="shared" ref="Z15:Z24" si="3">+W15*1.03</f>
        <v>291714.39191828796</v>
      </c>
      <c r="AA15" s="81" t="s">
        <v>91</v>
      </c>
      <c r="AB15" s="82"/>
      <c r="AC15" s="73"/>
      <c r="AD15" s="73"/>
      <c r="AE15" s="73"/>
    </row>
    <row r="16" spans="1:51" x14ac:dyDescent="0.3">
      <c r="A16" s="11"/>
      <c r="B16" s="20" t="s">
        <v>1</v>
      </c>
      <c r="C16" s="12" t="s">
        <v>22</v>
      </c>
      <c r="D16" s="21">
        <v>248332.96612062285</v>
      </c>
      <c r="E16" s="21">
        <v>248332.96612062285</v>
      </c>
      <c r="F16" s="21">
        <v>22905.16</v>
      </c>
      <c r="G16" s="21">
        <f>248332.966*1.03</f>
        <v>255782.95497999998</v>
      </c>
      <c r="H16" s="21">
        <f>248332.966*1.03</f>
        <v>255782.95497999998</v>
      </c>
      <c r="I16" s="21">
        <v>195323.62</v>
      </c>
      <c r="J16" s="22">
        <f t="shared" ref="J16:J29" si="4">+H16-I16</f>
        <v>60459.334979999985</v>
      </c>
      <c r="K16" s="22"/>
      <c r="L16" s="22">
        <v>263456.44362939999</v>
      </c>
      <c r="M16" s="22">
        <f t="shared" si="0"/>
        <v>263456.44362939999</v>
      </c>
      <c r="N16" s="108">
        <f t="shared" si="1"/>
        <v>0</v>
      </c>
      <c r="O16" s="22">
        <v>263456.44362939999</v>
      </c>
      <c r="P16" s="22"/>
      <c r="Q16" s="22">
        <v>263456.44362939999</v>
      </c>
      <c r="R16" s="80">
        <v>271360.136938282</v>
      </c>
      <c r="S16" s="80">
        <f>+M16*1.03</f>
        <v>271360.136938282</v>
      </c>
      <c r="T16" s="80">
        <f t="shared" ref="T16:T29" si="5">+R16-S16</f>
        <v>0</v>
      </c>
      <c r="U16" s="80">
        <f t="shared" ref="U16:U29" si="6">SUM(S16-R16)</f>
        <v>0</v>
      </c>
      <c r="V16" s="80">
        <v>279500.94104643044</v>
      </c>
      <c r="W16" s="80">
        <f t="shared" si="2"/>
        <v>279500.94104643044</v>
      </c>
      <c r="X16" s="80">
        <f t="shared" ref="X16:X29" si="7">+V16-W16</f>
        <v>0</v>
      </c>
      <c r="Y16" s="80"/>
      <c r="Z16" s="80">
        <f t="shared" si="3"/>
        <v>287885.96927782334</v>
      </c>
      <c r="AA16" s="81"/>
      <c r="AB16" s="82"/>
      <c r="AC16" s="73"/>
      <c r="AD16" s="73"/>
      <c r="AE16" s="73"/>
    </row>
    <row r="17" spans="1:81" x14ac:dyDescent="0.3">
      <c r="A17" s="11"/>
      <c r="B17" s="20" t="s">
        <v>2</v>
      </c>
      <c r="C17" s="78" t="s">
        <v>105</v>
      </c>
      <c r="D17" s="21">
        <v>164584.85410424246</v>
      </c>
      <c r="E17" s="21">
        <v>164584.85410424246</v>
      </c>
      <c r="F17" s="21">
        <v>152217.49000000011</v>
      </c>
      <c r="G17" s="21">
        <v>169522.39972736975</v>
      </c>
      <c r="H17" s="21">
        <v>169522.39972736975</v>
      </c>
      <c r="I17" s="21">
        <v>141029.65000000002</v>
      </c>
      <c r="J17" s="22">
        <f t="shared" si="4"/>
        <v>28492.749727369723</v>
      </c>
      <c r="K17" s="22"/>
      <c r="L17" s="22">
        <v>174608.07171919083</v>
      </c>
      <c r="M17" s="22">
        <f t="shared" si="0"/>
        <v>174608.07171919083</v>
      </c>
      <c r="N17" s="108">
        <f t="shared" si="1"/>
        <v>0</v>
      </c>
      <c r="O17" s="22">
        <v>174608.07171919083</v>
      </c>
      <c r="P17" s="22"/>
      <c r="Q17" s="22">
        <v>174608.07171919083</v>
      </c>
      <c r="R17" s="80">
        <v>179846.31387076655</v>
      </c>
      <c r="S17" s="80">
        <f>+M17*1.03+12000</f>
        <v>191846.31387076655</v>
      </c>
      <c r="T17" s="80">
        <f t="shared" si="5"/>
        <v>-12000</v>
      </c>
      <c r="U17" s="80">
        <f t="shared" si="6"/>
        <v>12000</v>
      </c>
      <c r="V17" s="80">
        <v>185241.70328688956</v>
      </c>
      <c r="W17" s="80">
        <f t="shared" si="2"/>
        <v>197601.70328688956</v>
      </c>
      <c r="X17" s="80">
        <f t="shared" si="7"/>
        <v>-12360</v>
      </c>
      <c r="Y17" s="80">
        <f t="shared" ref="Y17:Y60" si="8">SUM(W17-V17)</f>
        <v>12360</v>
      </c>
      <c r="Z17" s="80">
        <f t="shared" si="3"/>
        <v>203529.75438549626</v>
      </c>
      <c r="AA17" s="81" t="s">
        <v>109</v>
      </c>
      <c r="AB17" s="82"/>
      <c r="AC17" s="73"/>
      <c r="AD17" s="73"/>
      <c r="AE17" s="73"/>
    </row>
    <row r="18" spans="1:81" x14ac:dyDescent="0.3">
      <c r="A18" s="11"/>
      <c r="B18" s="20" t="s">
        <v>3</v>
      </c>
      <c r="C18" s="78" t="s">
        <v>20</v>
      </c>
      <c r="D18" s="21">
        <v>224409.30820681545</v>
      </c>
      <c r="E18" s="21">
        <v>224409.30820681545</v>
      </c>
      <c r="F18" s="21">
        <v>211329.56999999995</v>
      </c>
      <c r="G18" s="21">
        <v>231141.58745301992</v>
      </c>
      <c r="H18" s="21">
        <v>231141.58745301992</v>
      </c>
      <c r="I18" s="21">
        <v>0</v>
      </c>
      <c r="J18" s="22">
        <f t="shared" si="4"/>
        <v>231141.58745301992</v>
      </c>
      <c r="K18" s="22"/>
      <c r="L18" s="22">
        <v>238075.83507661053</v>
      </c>
      <c r="M18" s="22">
        <f t="shared" si="0"/>
        <v>238075.83507661053</v>
      </c>
      <c r="N18" s="108">
        <f t="shared" si="1"/>
        <v>0</v>
      </c>
      <c r="O18" s="22">
        <v>238075.83507661053</v>
      </c>
      <c r="P18" s="22"/>
      <c r="Q18" s="22">
        <v>238075.83507661053</v>
      </c>
      <c r="R18" s="80">
        <v>245218.11012890885</v>
      </c>
      <c r="S18" s="80">
        <f>+M18*1.03</f>
        <v>245218.11012890885</v>
      </c>
      <c r="T18" s="80">
        <f t="shared" si="5"/>
        <v>0</v>
      </c>
      <c r="U18" s="80">
        <f t="shared" si="6"/>
        <v>0</v>
      </c>
      <c r="V18" s="80">
        <v>252574.65343277613</v>
      </c>
      <c r="W18" s="80">
        <f t="shared" si="2"/>
        <v>252574.65343277613</v>
      </c>
      <c r="X18" s="80">
        <f t="shared" si="7"/>
        <v>0</v>
      </c>
      <c r="Y18" s="80">
        <f t="shared" si="8"/>
        <v>0</v>
      </c>
      <c r="Z18" s="80">
        <f t="shared" si="3"/>
        <v>260151.89303575942</v>
      </c>
      <c r="AA18" s="81"/>
      <c r="AB18" s="82"/>
      <c r="AC18" s="73"/>
      <c r="AD18" s="73"/>
      <c r="AE18" s="73"/>
    </row>
    <row r="19" spans="1:81" x14ac:dyDescent="0.3">
      <c r="A19" s="11"/>
      <c r="B19" s="20" t="s">
        <v>4</v>
      </c>
      <c r="C19" s="78" t="s">
        <v>56</v>
      </c>
      <c r="D19" s="21">
        <v>224409.30820681545</v>
      </c>
      <c r="E19" s="21">
        <v>224409.30820681545</v>
      </c>
      <c r="F19" s="21">
        <v>193439.00999999998</v>
      </c>
      <c r="G19" s="21">
        <v>231141.58745301992</v>
      </c>
      <c r="H19" s="21">
        <v>231141.58745301992</v>
      </c>
      <c r="I19" s="21">
        <v>176992.76</v>
      </c>
      <c r="J19" s="22">
        <f t="shared" si="4"/>
        <v>54148.827453019912</v>
      </c>
      <c r="K19" s="22"/>
      <c r="L19" s="22">
        <v>238075.83507661053</v>
      </c>
      <c r="M19" s="22">
        <f t="shared" si="0"/>
        <v>238075.83507661053</v>
      </c>
      <c r="N19" s="108">
        <f t="shared" si="1"/>
        <v>0</v>
      </c>
      <c r="O19" s="22">
        <v>238075.83507661053</v>
      </c>
      <c r="P19" s="22"/>
      <c r="Q19" s="22">
        <v>238075.83507661053</v>
      </c>
      <c r="R19" s="80">
        <v>245218.11012890885</v>
      </c>
      <c r="S19" s="80">
        <f>+M19*1.03</f>
        <v>245218.11012890885</v>
      </c>
      <c r="T19" s="80">
        <f t="shared" si="5"/>
        <v>0</v>
      </c>
      <c r="U19" s="80">
        <f t="shared" si="6"/>
        <v>0</v>
      </c>
      <c r="V19" s="80">
        <v>252574.65343277613</v>
      </c>
      <c r="W19" s="80">
        <f t="shared" si="2"/>
        <v>252574.65343277613</v>
      </c>
      <c r="X19" s="80">
        <f t="shared" si="7"/>
        <v>0</v>
      </c>
      <c r="Y19" s="80">
        <f t="shared" si="8"/>
        <v>0</v>
      </c>
      <c r="Z19" s="80">
        <f t="shared" si="3"/>
        <v>260151.89303575942</v>
      </c>
      <c r="AA19" s="81"/>
      <c r="AB19" s="82"/>
      <c r="AC19" s="73"/>
      <c r="AD19" s="73"/>
      <c r="AE19" s="73"/>
    </row>
    <row r="20" spans="1:81" x14ac:dyDescent="0.3">
      <c r="A20" s="11"/>
      <c r="B20" s="20" t="s">
        <v>5</v>
      </c>
      <c r="C20" s="78" t="s">
        <v>57</v>
      </c>
      <c r="D20" s="21">
        <v>224409.30820681545</v>
      </c>
      <c r="E20" s="21">
        <v>224409.30820681545</v>
      </c>
      <c r="F20" s="21">
        <v>87695.440000000017</v>
      </c>
      <c r="G20" s="21">
        <v>231141.58745301992</v>
      </c>
      <c r="H20" s="21">
        <v>231141.58745301992</v>
      </c>
      <c r="I20" s="21">
        <v>109916.34</v>
      </c>
      <c r="J20" s="22">
        <f t="shared" si="4"/>
        <v>121225.24745301993</v>
      </c>
      <c r="K20" s="22"/>
      <c r="L20" s="22">
        <v>238075.83507661053</v>
      </c>
      <c r="M20" s="22">
        <f t="shared" si="0"/>
        <v>238075.83507661053</v>
      </c>
      <c r="N20" s="108">
        <f t="shared" si="1"/>
        <v>0</v>
      </c>
      <c r="O20" s="22">
        <v>238075.83507661053</v>
      </c>
      <c r="P20" s="22"/>
      <c r="Q20" s="22">
        <v>238075.83507661053</v>
      </c>
      <c r="R20" s="80">
        <v>245218.11012890885</v>
      </c>
      <c r="S20" s="80">
        <f>+M20*1.03</f>
        <v>245218.11012890885</v>
      </c>
      <c r="T20" s="80">
        <f t="shared" si="5"/>
        <v>0</v>
      </c>
      <c r="U20" s="80">
        <f t="shared" si="6"/>
        <v>0</v>
      </c>
      <c r="V20" s="80">
        <v>252574.65343277613</v>
      </c>
      <c r="W20" s="80">
        <f t="shared" si="2"/>
        <v>252574.65343277613</v>
      </c>
      <c r="X20" s="80">
        <f t="shared" si="7"/>
        <v>0</v>
      </c>
      <c r="Y20" s="80">
        <f t="shared" si="8"/>
        <v>0</v>
      </c>
      <c r="Z20" s="80">
        <f t="shared" si="3"/>
        <v>260151.89303575942</v>
      </c>
      <c r="AA20" s="81"/>
      <c r="AB20" s="82"/>
      <c r="AC20" s="73"/>
      <c r="AD20" s="73"/>
      <c r="AE20" s="73"/>
    </row>
    <row r="21" spans="1:81" x14ac:dyDescent="0.3">
      <c r="A21" s="11"/>
      <c r="B21" s="20" t="s">
        <v>6</v>
      </c>
      <c r="C21" s="78" t="s">
        <v>56</v>
      </c>
      <c r="D21" s="21">
        <v>224409.30820681545</v>
      </c>
      <c r="E21" s="21">
        <v>224409.30820681545</v>
      </c>
      <c r="F21" s="21">
        <v>190173.15999999995</v>
      </c>
      <c r="G21" s="21">
        <v>231141.58745301992</v>
      </c>
      <c r="H21" s="21">
        <v>231141.58745301992</v>
      </c>
      <c r="I21" s="21">
        <v>181456.53000000003</v>
      </c>
      <c r="J21" s="22">
        <f t="shared" si="4"/>
        <v>49685.057453019894</v>
      </c>
      <c r="K21" s="22"/>
      <c r="L21" s="22">
        <v>238075.83507661053</v>
      </c>
      <c r="M21" s="22">
        <f t="shared" si="0"/>
        <v>238075.83507661053</v>
      </c>
      <c r="N21" s="108">
        <f t="shared" si="1"/>
        <v>0</v>
      </c>
      <c r="O21" s="22">
        <v>238075.83507661053</v>
      </c>
      <c r="P21" s="22"/>
      <c r="Q21" s="22">
        <v>238075.83507661053</v>
      </c>
      <c r="R21" s="80">
        <v>245218.11012890885</v>
      </c>
      <c r="S21" s="80">
        <f>+M21*1.03</f>
        <v>245218.11012890885</v>
      </c>
      <c r="T21" s="80">
        <f t="shared" si="5"/>
        <v>0</v>
      </c>
      <c r="U21" s="80">
        <f t="shared" si="6"/>
        <v>0</v>
      </c>
      <c r="V21" s="80">
        <v>252574.65343277613</v>
      </c>
      <c r="W21" s="80">
        <f t="shared" si="2"/>
        <v>252574.65343277613</v>
      </c>
      <c r="X21" s="80">
        <f t="shared" si="7"/>
        <v>0</v>
      </c>
      <c r="Y21" s="80">
        <f t="shared" si="8"/>
        <v>0</v>
      </c>
      <c r="Z21" s="80">
        <f t="shared" si="3"/>
        <v>260151.89303575942</v>
      </c>
      <c r="AA21" s="81"/>
      <c r="AB21" s="82"/>
      <c r="AC21" s="73"/>
      <c r="AD21" s="73"/>
      <c r="AE21" s="73"/>
    </row>
    <row r="22" spans="1:81" s="24" customFormat="1" x14ac:dyDescent="0.3">
      <c r="A22" s="11"/>
      <c r="B22" s="20" t="s">
        <v>7</v>
      </c>
      <c r="C22" s="78" t="s">
        <v>104</v>
      </c>
      <c r="D22" s="21">
        <v>198426.29440757574</v>
      </c>
      <c r="E22" s="21">
        <v>198426.29440757574</v>
      </c>
      <c r="F22" s="21">
        <v>186854.30999999985</v>
      </c>
      <c r="G22" s="21">
        <v>204379.08323980303</v>
      </c>
      <c r="H22" s="21">
        <v>204379.08323980303</v>
      </c>
      <c r="I22" s="21">
        <v>166106.63</v>
      </c>
      <c r="J22" s="22">
        <f t="shared" si="4"/>
        <v>38272.453239803028</v>
      </c>
      <c r="K22" s="22"/>
      <c r="L22" s="22">
        <v>210510.45573699713</v>
      </c>
      <c r="M22" s="22">
        <f t="shared" si="0"/>
        <v>210510.45573699713</v>
      </c>
      <c r="N22" s="108">
        <f t="shared" si="1"/>
        <v>0</v>
      </c>
      <c r="O22" s="22">
        <v>210510.45573699713</v>
      </c>
      <c r="P22" s="22"/>
      <c r="Q22" s="22">
        <v>210510.45573699713</v>
      </c>
      <c r="R22" s="80">
        <v>216825.76940910704</v>
      </c>
      <c r="S22" s="80">
        <f>+M22*1.03+4200</f>
        <v>221025.76940910704</v>
      </c>
      <c r="T22" s="80">
        <f t="shared" si="5"/>
        <v>-4200</v>
      </c>
      <c r="U22" s="80">
        <f t="shared" si="6"/>
        <v>4200</v>
      </c>
      <c r="V22" s="80">
        <v>223330.54249138027</v>
      </c>
      <c r="W22" s="80">
        <f t="shared" si="2"/>
        <v>227656.54249138027</v>
      </c>
      <c r="X22" s="80">
        <f t="shared" si="7"/>
        <v>-4326</v>
      </c>
      <c r="Y22" s="80">
        <f t="shared" si="8"/>
        <v>4326</v>
      </c>
      <c r="Z22" s="80">
        <f t="shared" si="3"/>
        <v>234486.23876612168</v>
      </c>
      <c r="AA22" s="81" t="s">
        <v>109</v>
      </c>
      <c r="AB22" s="184"/>
      <c r="AC22" s="73"/>
      <c r="AD22" s="73"/>
      <c r="AE22" s="73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</row>
    <row r="23" spans="1:81" x14ac:dyDescent="0.3">
      <c r="A23" s="11"/>
      <c r="B23" s="20" t="s">
        <v>8</v>
      </c>
      <c r="C23" s="78" t="s">
        <v>58</v>
      </c>
      <c r="D23" s="21">
        <v>201342.43686178231</v>
      </c>
      <c r="E23" s="21">
        <v>201342.43686178231</v>
      </c>
      <c r="F23" s="21">
        <v>170883.00999999992</v>
      </c>
      <c r="G23" s="21">
        <v>207382.70996763578</v>
      </c>
      <c r="H23" s="21">
        <v>207382.70996763578</v>
      </c>
      <c r="I23" s="21">
        <v>234918.68</v>
      </c>
      <c r="J23" s="22">
        <f t="shared" si="4"/>
        <v>-27535.970032364217</v>
      </c>
      <c r="K23" s="22"/>
      <c r="L23" s="22">
        <v>213604.19126666486</v>
      </c>
      <c r="M23" s="101">
        <f t="shared" si="0"/>
        <v>213604.19126666486</v>
      </c>
      <c r="N23" s="108">
        <f>+L23-M23</f>
        <v>0</v>
      </c>
      <c r="O23" s="22">
        <v>213604.19126666486</v>
      </c>
      <c r="P23" s="22"/>
      <c r="Q23" s="22">
        <v>213604.19126666486</v>
      </c>
      <c r="R23" s="80">
        <v>220012.3170046648</v>
      </c>
      <c r="S23" s="80">
        <v>220012.3170046648</v>
      </c>
      <c r="T23" s="80">
        <f t="shared" si="5"/>
        <v>0</v>
      </c>
      <c r="U23" s="80">
        <f t="shared" si="6"/>
        <v>0</v>
      </c>
      <c r="V23" s="80">
        <v>226612.68651480475</v>
      </c>
      <c r="W23" s="80">
        <f t="shared" si="2"/>
        <v>226612.68651480475</v>
      </c>
      <c r="X23" s="80">
        <f t="shared" si="7"/>
        <v>0</v>
      </c>
      <c r="Y23" s="80">
        <f t="shared" si="8"/>
        <v>0</v>
      </c>
      <c r="Z23" s="80">
        <f t="shared" si="3"/>
        <v>233411.0671102489</v>
      </c>
      <c r="AA23" s="81" t="s">
        <v>89</v>
      </c>
      <c r="AB23" s="82"/>
      <c r="AC23" s="73"/>
      <c r="AD23" s="73"/>
      <c r="AE23" s="73"/>
    </row>
    <row r="24" spans="1:81" x14ac:dyDescent="0.3">
      <c r="A24" s="11"/>
      <c r="B24" s="20" t="s">
        <v>9</v>
      </c>
      <c r="C24" s="78" t="s">
        <v>60</v>
      </c>
      <c r="D24" s="21">
        <v>224409.30820681545</v>
      </c>
      <c r="E24" s="21">
        <v>224409.30820681545</v>
      </c>
      <c r="F24" s="21">
        <v>205937.7900000001</v>
      </c>
      <c r="G24" s="21">
        <v>231141.58745301992</v>
      </c>
      <c r="H24" s="21">
        <v>231141.58745301992</v>
      </c>
      <c r="I24" s="21">
        <v>191352.95</v>
      </c>
      <c r="J24" s="22">
        <f t="shared" si="4"/>
        <v>39788.63745301991</v>
      </c>
      <c r="K24" s="22"/>
      <c r="L24" s="22">
        <v>238075.83507661053</v>
      </c>
      <c r="M24" s="22">
        <f t="shared" si="0"/>
        <v>238075.83507661053</v>
      </c>
      <c r="N24" s="108">
        <f t="shared" si="1"/>
        <v>0</v>
      </c>
      <c r="O24" s="22">
        <v>238075.83507661053</v>
      </c>
      <c r="P24" s="22"/>
      <c r="Q24" s="22">
        <v>238075.83507661053</v>
      </c>
      <c r="R24" s="80">
        <v>245218.11012890885</v>
      </c>
      <c r="S24" s="80">
        <f>+M24*1.03</f>
        <v>245218.11012890885</v>
      </c>
      <c r="T24" s="80">
        <f t="shared" si="5"/>
        <v>0</v>
      </c>
      <c r="U24" s="80">
        <f t="shared" si="6"/>
        <v>0</v>
      </c>
      <c r="V24" s="80">
        <v>252574.65343277613</v>
      </c>
      <c r="W24" s="80">
        <f t="shared" si="2"/>
        <v>252574.65343277613</v>
      </c>
      <c r="X24" s="80">
        <f t="shared" si="7"/>
        <v>0</v>
      </c>
      <c r="Y24" s="80">
        <f t="shared" si="8"/>
        <v>0</v>
      </c>
      <c r="Z24" s="80">
        <f t="shared" si="3"/>
        <v>260151.89303575942</v>
      </c>
      <c r="AA24" s="81"/>
      <c r="AB24" s="82"/>
      <c r="AC24" s="73"/>
      <c r="AD24" s="73"/>
      <c r="AE24" s="73"/>
    </row>
    <row r="25" spans="1:81" s="83" customFormat="1" x14ac:dyDescent="0.3">
      <c r="A25" s="76"/>
      <c r="B25" s="77" t="s">
        <v>12</v>
      </c>
      <c r="C25" s="78" t="s">
        <v>85</v>
      </c>
      <c r="D25" s="79">
        <v>164584.85410424246</v>
      </c>
      <c r="E25" s="79">
        <v>164584.85410424246</v>
      </c>
      <c r="F25" s="79">
        <v>128968.455436</v>
      </c>
      <c r="G25" s="79">
        <v>169522.39972736975</v>
      </c>
      <c r="H25" s="79">
        <v>169522.39972736975</v>
      </c>
      <c r="I25" s="21">
        <v>20729.63</v>
      </c>
      <c r="J25" s="22">
        <f t="shared" si="4"/>
        <v>148792.76972736974</v>
      </c>
      <c r="K25" s="22"/>
      <c r="L25" s="22">
        <v>174608.07171919083</v>
      </c>
      <c r="M25" s="22">
        <f t="shared" si="0"/>
        <v>174608.07171919083</v>
      </c>
      <c r="N25" s="108">
        <f t="shared" si="1"/>
        <v>0</v>
      </c>
      <c r="O25" s="22">
        <v>174608.07171919083</v>
      </c>
      <c r="P25" s="22"/>
      <c r="Q25" s="22">
        <v>174608.07171919083</v>
      </c>
      <c r="R25" s="80">
        <v>179846.31387076655</v>
      </c>
      <c r="S25" s="80">
        <f>+M25*1.03</f>
        <v>179846.31387076655</v>
      </c>
      <c r="T25" s="80">
        <f t="shared" si="5"/>
        <v>0</v>
      </c>
      <c r="U25" s="80">
        <f t="shared" si="6"/>
        <v>0</v>
      </c>
      <c r="V25" s="80">
        <v>135061</v>
      </c>
      <c r="W25" s="80">
        <v>135061</v>
      </c>
      <c r="X25" s="80">
        <f t="shared" si="7"/>
        <v>0</v>
      </c>
      <c r="Y25" s="80">
        <f t="shared" si="8"/>
        <v>0</v>
      </c>
      <c r="Z25" s="80">
        <v>135061</v>
      </c>
      <c r="AA25" s="81" t="s">
        <v>97</v>
      </c>
      <c r="AB25" s="82"/>
      <c r="AC25" s="73"/>
      <c r="AD25" s="73"/>
      <c r="AE25" s="73"/>
    </row>
    <row r="26" spans="1:81" x14ac:dyDescent="0.3">
      <c r="A26" s="11"/>
      <c r="B26" s="20" t="s">
        <v>15</v>
      </c>
      <c r="C26" s="78" t="s">
        <v>103</v>
      </c>
      <c r="D26" s="21">
        <v>137917</v>
      </c>
      <c r="E26" s="21">
        <v>137917</v>
      </c>
      <c r="F26" s="21">
        <v>127453.81528599997</v>
      </c>
      <c r="G26" s="21">
        <f>+D26*1.03</f>
        <v>142054.51</v>
      </c>
      <c r="H26" s="21">
        <f>+E26*1.03</f>
        <v>142054.51</v>
      </c>
      <c r="I26" s="21">
        <v>123145.44999999998</v>
      </c>
      <c r="J26" s="22">
        <f t="shared" si="4"/>
        <v>18909.060000000027</v>
      </c>
      <c r="K26" s="22"/>
      <c r="L26" s="22">
        <v>146316.1453</v>
      </c>
      <c r="M26" s="22">
        <f t="shared" si="0"/>
        <v>146316.1453</v>
      </c>
      <c r="N26" s="108">
        <f t="shared" si="1"/>
        <v>0</v>
      </c>
      <c r="O26" s="22">
        <v>146316.1453</v>
      </c>
      <c r="P26" s="22"/>
      <c r="Q26" s="22">
        <v>146316.1453</v>
      </c>
      <c r="R26" s="80">
        <v>150705.629659</v>
      </c>
      <c r="S26" s="80">
        <f>+M26*1.03+12000</f>
        <v>162705.629659</v>
      </c>
      <c r="T26" s="80">
        <f t="shared" si="5"/>
        <v>-12000</v>
      </c>
      <c r="U26" s="80">
        <f t="shared" si="6"/>
        <v>12000</v>
      </c>
      <c r="V26" s="80">
        <v>155226.79854876999</v>
      </c>
      <c r="W26" s="80">
        <f>+S26*1.03</f>
        <v>167586.79854876999</v>
      </c>
      <c r="X26" s="80">
        <f t="shared" si="7"/>
        <v>-12360</v>
      </c>
      <c r="Y26" s="80">
        <f t="shared" si="8"/>
        <v>12360</v>
      </c>
      <c r="Z26" s="80">
        <f t="shared" ref="Z26:Z29" si="9">+W26*1.03</f>
        <v>172614.4025052331</v>
      </c>
      <c r="AA26" s="81" t="s">
        <v>109</v>
      </c>
      <c r="AB26" s="82"/>
      <c r="AC26" s="73"/>
      <c r="AD26" s="73"/>
      <c r="AE26" s="73"/>
    </row>
    <row r="27" spans="1:81" ht="19.5" customHeight="1" x14ac:dyDescent="0.3">
      <c r="A27" s="11"/>
      <c r="B27" s="20" t="s">
        <v>17</v>
      </c>
      <c r="C27" s="78" t="s">
        <v>102</v>
      </c>
      <c r="D27" s="21">
        <v>164584.85410424246</v>
      </c>
      <c r="E27" s="21">
        <v>164584.85410424246</v>
      </c>
      <c r="F27" s="21">
        <v>153910.05000000008</v>
      </c>
      <c r="G27" s="21">
        <v>169522.39972736975</v>
      </c>
      <c r="H27" s="21">
        <v>169522.39972736975</v>
      </c>
      <c r="I27" s="21">
        <v>144565.6</v>
      </c>
      <c r="J27" s="22">
        <f t="shared" si="4"/>
        <v>24956.79972736974</v>
      </c>
      <c r="K27" s="22"/>
      <c r="L27" s="22">
        <v>174608.07171919083</v>
      </c>
      <c r="M27" s="22">
        <f t="shared" si="0"/>
        <v>174608.07171919083</v>
      </c>
      <c r="N27" s="108">
        <f t="shared" si="1"/>
        <v>0</v>
      </c>
      <c r="O27" s="22">
        <v>174608.07171919083</v>
      </c>
      <c r="P27" s="22"/>
      <c r="Q27" s="22">
        <v>174608.07171919083</v>
      </c>
      <c r="R27" s="22">
        <v>174608.07171919083</v>
      </c>
      <c r="S27" s="22">
        <f>+M27*1.03+11238</f>
        <v>191084.31387076655</v>
      </c>
      <c r="T27" s="22">
        <f t="shared" si="5"/>
        <v>-16476.242151575716</v>
      </c>
      <c r="U27" s="22">
        <f t="shared" si="6"/>
        <v>16476.242151575716</v>
      </c>
      <c r="V27" s="22">
        <v>179846.31387076655</v>
      </c>
      <c r="W27" s="22">
        <f>+S27*1.03</f>
        <v>196816.84328688955</v>
      </c>
      <c r="X27" s="22">
        <f t="shared" si="7"/>
        <v>-16970.529416122998</v>
      </c>
      <c r="Y27" s="22">
        <f t="shared" si="8"/>
        <v>16970.529416122998</v>
      </c>
      <c r="Z27" s="22">
        <f t="shared" si="9"/>
        <v>202721.34858549625</v>
      </c>
      <c r="AA27" s="23" t="s">
        <v>109</v>
      </c>
      <c r="AB27" s="82"/>
      <c r="AC27" s="73"/>
      <c r="AD27" s="73"/>
      <c r="AE27" s="73"/>
    </row>
    <row r="28" spans="1:81" x14ac:dyDescent="0.3">
      <c r="A28" s="11"/>
      <c r="B28" s="20" t="s">
        <v>68</v>
      </c>
      <c r="C28" s="175" t="s">
        <v>144</v>
      </c>
      <c r="D28" s="25">
        <f>120000/12*6</f>
        <v>60000</v>
      </c>
      <c r="E28" s="25">
        <f>120000/12*6</f>
        <v>60000</v>
      </c>
      <c r="F28" s="21">
        <v>45217.5</v>
      </c>
      <c r="G28" s="21">
        <f>120000*1.03</f>
        <v>123600</v>
      </c>
      <c r="H28" s="21">
        <f>120000*1.03</f>
        <v>123600</v>
      </c>
      <c r="I28" s="21">
        <v>49518.740000000005</v>
      </c>
      <c r="J28" s="22">
        <f t="shared" si="4"/>
        <v>74081.259999999995</v>
      </c>
      <c r="K28" s="22">
        <v>74081.259999999995</v>
      </c>
      <c r="L28" s="22">
        <v>127308</v>
      </c>
      <c r="M28" s="101">
        <f>+G28*1.03+74081</f>
        <v>201389</v>
      </c>
      <c r="N28" s="108">
        <f t="shared" si="1"/>
        <v>-74081</v>
      </c>
      <c r="O28" s="22">
        <v>127308</v>
      </c>
      <c r="P28" s="22">
        <v>74081</v>
      </c>
      <c r="Q28" s="22">
        <f>+O28+P28</f>
        <v>201389</v>
      </c>
      <c r="R28" s="22">
        <v>131127.24</v>
      </c>
      <c r="S28" s="22">
        <v>131127.24</v>
      </c>
      <c r="T28" s="22">
        <f t="shared" si="5"/>
        <v>0</v>
      </c>
      <c r="U28" s="22">
        <f t="shared" si="6"/>
        <v>0</v>
      </c>
      <c r="V28" s="22">
        <v>135061.05719999998</v>
      </c>
      <c r="W28" s="22">
        <f>+S28*1.03</f>
        <v>135061.05719999998</v>
      </c>
      <c r="X28" s="22">
        <f t="shared" si="7"/>
        <v>0</v>
      </c>
      <c r="Y28" s="22">
        <f t="shared" si="8"/>
        <v>0</v>
      </c>
      <c r="Z28" s="22">
        <f t="shared" si="9"/>
        <v>139112.888916</v>
      </c>
      <c r="AA28" s="23" t="s">
        <v>156</v>
      </c>
      <c r="AB28" s="73"/>
      <c r="AC28" s="73"/>
      <c r="AD28" s="73"/>
      <c r="AE28" s="73"/>
    </row>
    <row r="29" spans="1:81" x14ac:dyDescent="0.3">
      <c r="A29" s="11"/>
      <c r="B29" s="20" t="s">
        <v>69</v>
      </c>
      <c r="C29" s="175" t="s">
        <v>86</v>
      </c>
      <c r="D29" s="25">
        <f>120000/12*6</f>
        <v>60000</v>
      </c>
      <c r="E29" s="25">
        <f>120000/12*6</f>
        <v>60000</v>
      </c>
      <c r="F29" s="21">
        <v>47155.719999999994</v>
      </c>
      <c r="G29" s="21">
        <f>120000*1.03</f>
        <v>123600</v>
      </c>
      <c r="H29" s="21">
        <f>120000*1.03</f>
        <v>123600</v>
      </c>
      <c r="I29" s="21">
        <v>48443.979999999996</v>
      </c>
      <c r="J29" s="22">
        <f t="shared" si="4"/>
        <v>75156.02</v>
      </c>
      <c r="K29" s="22">
        <v>75156.02</v>
      </c>
      <c r="L29" s="22">
        <v>127308</v>
      </c>
      <c r="M29" s="101">
        <f>+G29*1.03+75156</f>
        <v>202464</v>
      </c>
      <c r="N29" s="108">
        <f t="shared" si="1"/>
        <v>-75156</v>
      </c>
      <c r="O29" s="22">
        <v>127308</v>
      </c>
      <c r="P29" s="22">
        <v>75156</v>
      </c>
      <c r="Q29" s="22">
        <f>+O29+P29</f>
        <v>202464</v>
      </c>
      <c r="R29" s="22">
        <v>131127.24</v>
      </c>
      <c r="S29" s="22">
        <v>131127.24</v>
      </c>
      <c r="T29" s="22">
        <f t="shared" si="5"/>
        <v>0</v>
      </c>
      <c r="U29" s="22">
        <f t="shared" si="6"/>
        <v>0</v>
      </c>
      <c r="V29" s="22">
        <v>135061.05719999998</v>
      </c>
      <c r="W29" s="22">
        <f>+S29*1.03</f>
        <v>135061.05719999998</v>
      </c>
      <c r="X29" s="22">
        <f t="shared" si="7"/>
        <v>0</v>
      </c>
      <c r="Y29" s="22">
        <f t="shared" si="8"/>
        <v>0</v>
      </c>
      <c r="Z29" s="22">
        <f t="shared" si="9"/>
        <v>139112.888916</v>
      </c>
      <c r="AA29" s="23" t="s">
        <v>157</v>
      </c>
      <c r="AB29" s="73"/>
      <c r="AC29" s="73"/>
      <c r="AD29" s="73"/>
      <c r="AE29" s="73"/>
    </row>
    <row r="30" spans="1:81" x14ac:dyDescent="0.3">
      <c r="A30" s="11"/>
      <c r="B30" s="20" t="s">
        <v>71</v>
      </c>
      <c r="C30" s="175" t="s">
        <v>72</v>
      </c>
      <c r="D30" s="25"/>
      <c r="E30" s="25"/>
      <c r="F30" s="21"/>
      <c r="G30" s="21"/>
      <c r="H30" s="21"/>
      <c r="I30" s="21"/>
      <c r="J30" s="22"/>
      <c r="K30" s="22"/>
      <c r="L30" s="22"/>
      <c r="M30" s="22"/>
      <c r="N30" s="108">
        <f t="shared" si="1"/>
        <v>0</v>
      </c>
      <c r="O30" s="22"/>
      <c r="P30" s="22"/>
      <c r="Q30" s="22"/>
      <c r="R30" s="80"/>
      <c r="S30" s="22"/>
      <c r="T30" s="22"/>
      <c r="U30" s="22"/>
      <c r="V30" s="22"/>
      <c r="W30" s="22"/>
      <c r="X30" s="22"/>
      <c r="Y30" s="22">
        <f t="shared" si="8"/>
        <v>0</v>
      </c>
      <c r="Z30" s="22"/>
      <c r="AA30" s="12"/>
      <c r="AB30" s="4"/>
      <c r="AC30" s="4"/>
      <c r="AD30" s="4"/>
      <c r="AE30" s="4"/>
    </row>
    <row r="31" spans="1:81" x14ac:dyDescent="0.3">
      <c r="A31" s="26">
        <v>1199</v>
      </c>
      <c r="B31" s="27"/>
      <c r="C31" s="176" t="s">
        <v>30</v>
      </c>
      <c r="D31" s="29">
        <f t="shared" ref="D31:W31" si="10">SUM(D15:D30)</f>
        <v>2773455.1978705665</v>
      </c>
      <c r="E31" s="29">
        <f t="shared" si="10"/>
        <v>2773455.1978705665</v>
      </c>
      <c r="F31" s="29">
        <f t="shared" ref="F31" si="11">SUM(F15:F30)</f>
        <v>2163872.5707220002</v>
      </c>
      <c r="G31" s="29">
        <f t="shared" si="10"/>
        <v>2980258.8535446478</v>
      </c>
      <c r="H31" s="29">
        <f t="shared" ref="H31" si="12">SUM(H15:H30)</f>
        <v>2980258.8535446478</v>
      </c>
      <c r="I31" s="29">
        <f t="shared" ref="I31:J31" si="13">SUM(I15:I30)</f>
        <v>1997983.4699999997</v>
      </c>
      <c r="J31" s="29">
        <f t="shared" si="13"/>
        <v>982275.38354464783</v>
      </c>
      <c r="K31" s="30"/>
      <c r="L31" s="30">
        <f t="shared" ref="L31" si="14">SUM(L15:L30)</f>
        <v>3069666.6191509874</v>
      </c>
      <c r="M31" s="30">
        <f t="shared" si="10"/>
        <v>3218903.6191509874</v>
      </c>
      <c r="N31" s="108"/>
      <c r="O31" s="30">
        <f t="shared" ref="O31:Q31" si="15">SUM(O15:O30)</f>
        <v>3069666.6191509874</v>
      </c>
      <c r="P31" s="30">
        <f t="shared" si="15"/>
        <v>149237</v>
      </c>
      <c r="Q31" s="30">
        <f t="shared" si="15"/>
        <v>3218903.6191509874</v>
      </c>
      <c r="R31" s="187">
        <f t="shared" ref="R31" si="16">SUM(R15:R30)</f>
        <v>3156518.3755739415</v>
      </c>
      <c r="S31" s="30">
        <f t="shared" si="10"/>
        <v>3201194.6177255167</v>
      </c>
      <c r="T31" s="30"/>
      <c r="U31" s="22">
        <f t="shared" ref="U31:U60" si="17">SUM(S31-R31)</f>
        <v>44676.242151575163</v>
      </c>
      <c r="V31" s="30">
        <f t="shared" ref="V31" si="18">SUM(V15:V30)</f>
        <v>3201033.2235542708</v>
      </c>
      <c r="W31" s="30">
        <f t="shared" si="10"/>
        <v>3247049.7529703937</v>
      </c>
      <c r="X31" s="30"/>
      <c r="Y31" s="22">
        <f t="shared" si="8"/>
        <v>46016.529416122939</v>
      </c>
      <c r="Z31" s="30">
        <f>SUM(Z15:Z30)</f>
        <v>3340409.4155595037</v>
      </c>
      <c r="AA31" s="12"/>
      <c r="AB31" s="4"/>
      <c r="AC31" s="4"/>
      <c r="AD31" s="4"/>
      <c r="AE31" s="4"/>
    </row>
    <row r="32" spans="1:81" x14ac:dyDescent="0.3">
      <c r="A32" s="11">
        <v>1200</v>
      </c>
      <c r="B32" s="12" t="s">
        <v>10</v>
      </c>
      <c r="C32" s="12"/>
      <c r="D32" s="31"/>
      <c r="E32" s="31"/>
      <c r="F32" s="31"/>
      <c r="G32" s="31"/>
      <c r="H32" s="31"/>
      <c r="I32" s="31"/>
      <c r="J32" s="32"/>
      <c r="K32" s="32"/>
      <c r="L32" s="32"/>
      <c r="M32" s="32"/>
      <c r="N32" s="108">
        <f t="shared" si="1"/>
        <v>0</v>
      </c>
      <c r="O32" s="32"/>
      <c r="P32" s="32"/>
      <c r="Q32" s="32"/>
      <c r="R32" s="188"/>
      <c r="S32" s="32"/>
      <c r="T32" s="32"/>
      <c r="U32" s="22">
        <f t="shared" si="17"/>
        <v>0</v>
      </c>
      <c r="V32" s="32"/>
      <c r="W32" s="32"/>
      <c r="X32" s="32"/>
      <c r="Y32" s="22">
        <f t="shared" si="8"/>
        <v>0</v>
      </c>
      <c r="Z32" s="32"/>
      <c r="AA32" s="12"/>
      <c r="AB32" s="4"/>
      <c r="AC32" s="4"/>
      <c r="AD32" s="4"/>
      <c r="AE32" s="4"/>
    </row>
    <row r="33" spans="1:31" x14ac:dyDescent="0.3">
      <c r="A33" s="11"/>
      <c r="B33" s="12" t="s">
        <v>0</v>
      </c>
      <c r="C33" s="12" t="s">
        <v>61</v>
      </c>
      <c r="D33" s="31">
        <v>54100</v>
      </c>
      <c r="E33" s="31">
        <v>87500</v>
      </c>
      <c r="F33" s="31">
        <v>14964</v>
      </c>
      <c r="G33" s="31">
        <v>75000</v>
      </c>
      <c r="H33" s="112">
        <f>75000+25000</f>
        <v>100000</v>
      </c>
      <c r="I33" s="31">
        <v>97193.63</v>
      </c>
      <c r="J33" s="22">
        <f>+H33-I33</f>
        <v>2806.3699999999953</v>
      </c>
      <c r="K33" s="22"/>
      <c r="L33" s="32">
        <v>75000</v>
      </c>
      <c r="M33" s="32">
        <v>75000</v>
      </c>
      <c r="N33" s="108">
        <f t="shared" si="1"/>
        <v>0</v>
      </c>
      <c r="O33" s="32">
        <v>75000</v>
      </c>
      <c r="P33" s="32"/>
      <c r="Q33" s="32">
        <v>75000</v>
      </c>
      <c r="R33" s="188">
        <v>75000</v>
      </c>
      <c r="S33" s="32">
        <v>75000</v>
      </c>
      <c r="T33" s="22">
        <f>+R33-S33</f>
        <v>0</v>
      </c>
      <c r="U33" s="22">
        <f t="shared" si="17"/>
        <v>0</v>
      </c>
      <c r="V33" s="32">
        <v>75000</v>
      </c>
      <c r="W33" s="32">
        <v>75000</v>
      </c>
      <c r="X33" s="22">
        <f>+V33-W33</f>
        <v>0</v>
      </c>
      <c r="Y33" s="22">
        <f t="shared" si="8"/>
        <v>0</v>
      </c>
      <c r="Z33" s="32">
        <v>75000</v>
      </c>
      <c r="AA33" s="12"/>
      <c r="AB33" s="4"/>
      <c r="AC33" s="4"/>
      <c r="AD33" s="4"/>
      <c r="AE33" s="4"/>
    </row>
    <row r="34" spans="1:31" x14ac:dyDescent="0.3">
      <c r="A34" s="11"/>
      <c r="B34" s="33" t="s">
        <v>1</v>
      </c>
      <c r="C34" s="12" t="s">
        <v>98</v>
      </c>
      <c r="D34" s="34">
        <f>100000-12500-23400-10000</f>
        <v>54100</v>
      </c>
      <c r="E34" s="34">
        <f>100000-12500</f>
        <v>87500</v>
      </c>
      <c r="F34" s="31"/>
      <c r="G34" s="31"/>
      <c r="H34" s="31"/>
      <c r="I34" s="31"/>
      <c r="J34" s="32"/>
      <c r="K34" s="32"/>
      <c r="L34" s="32">
        <v>60000</v>
      </c>
      <c r="M34" s="32">
        <v>60000</v>
      </c>
      <c r="N34" s="108">
        <f t="shared" si="1"/>
        <v>0</v>
      </c>
      <c r="O34" s="32">
        <v>60000</v>
      </c>
      <c r="P34" s="32"/>
      <c r="Q34" s="32">
        <v>60000</v>
      </c>
      <c r="R34" s="188"/>
      <c r="S34" s="32"/>
      <c r="T34" s="32"/>
      <c r="U34" s="22">
        <f t="shared" si="17"/>
        <v>0</v>
      </c>
      <c r="V34" s="32"/>
      <c r="W34" s="32"/>
      <c r="X34" s="32"/>
      <c r="Y34" s="22">
        <f t="shared" si="8"/>
        <v>0</v>
      </c>
      <c r="Z34" s="32"/>
      <c r="AA34" s="18"/>
      <c r="AB34" s="4"/>
      <c r="AC34" s="4"/>
      <c r="AD34" s="4"/>
      <c r="AE34" s="4"/>
    </row>
    <row r="35" spans="1:31" x14ac:dyDescent="0.3">
      <c r="A35" s="26">
        <v>1299</v>
      </c>
      <c r="B35" s="185"/>
      <c r="C35" s="176" t="s">
        <v>30</v>
      </c>
      <c r="D35" s="35">
        <f t="shared" ref="D35:E35" si="19">SUM(D34:D34)</f>
        <v>54100</v>
      </c>
      <c r="E35" s="35">
        <f t="shared" si="19"/>
        <v>87500</v>
      </c>
      <c r="F35" s="35">
        <f>SUM(F33:F34)</f>
        <v>14964</v>
      </c>
      <c r="G35" s="35">
        <f>SUM(G33:G34)</f>
        <v>75000</v>
      </c>
      <c r="H35" s="35">
        <f>SUM(H33:H34)</f>
        <v>100000</v>
      </c>
      <c r="I35" s="35">
        <f>SUM(I33:I34)</f>
        <v>97193.63</v>
      </c>
      <c r="J35" s="35">
        <f>SUM(J33:J34)</f>
        <v>2806.3699999999953</v>
      </c>
      <c r="K35" s="35"/>
      <c r="L35" s="35">
        <f t="shared" ref="L35" si="20">SUM(L33:L34)</f>
        <v>135000</v>
      </c>
      <c r="M35" s="35">
        <f t="shared" ref="M35:W35" si="21">SUM(M33:M34)</f>
        <v>135000</v>
      </c>
      <c r="N35" s="108">
        <f t="shared" si="1"/>
        <v>0</v>
      </c>
      <c r="O35" s="35">
        <f t="shared" ref="O35:Q35" si="22">SUM(O33:O34)</f>
        <v>135000</v>
      </c>
      <c r="P35" s="35">
        <f t="shared" si="22"/>
        <v>0</v>
      </c>
      <c r="Q35" s="35">
        <f t="shared" si="22"/>
        <v>135000</v>
      </c>
      <c r="R35" s="189">
        <f t="shared" ref="R35" si="23">SUM(R33:R34)</f>
        <v>75000</v>
      </c>
      <c r="S35" s="35">
        <f t="shared" si="21"/>
        <v>75000</v>
      </c>
      <c r="T35" s="35"/>
      <c r="U35" s="22">
        <f t="shared" si="17"/>
        <v>0</v>
      </c>
      <c r="V35" s="35">
        <f t="shared" ref="V35" si="24">SUM(V33:V34)</f>
        <v>75000</v>
      </c>
      <c r="W35" s="35">
        <f t="shared" si="21"/>
        <v>75000</v>
      </c>
      <c r="X35" s="35"/>
      <c r="Y35" s="22">
        <f t="shared" si="8"/>
        <v>0</v>
      </c>
      <c r="Z35" s="35">
        <f t="shared" ref="Z35" si="25">SUM(Z33:Z34)</f>
        <v>75000</v>
      </c>
      <c r="AA35" s="21"/>
      <c r="AB35" s="4"/>
      <c r="AC35" s="4"/>
      <c r="AD35" s="4"/>
      <c r="AE35" s="4"/>
    </row>
    <row r="36" spans="1:31" x14ac:dyDescent="0.3">
      <c r="A36" s="11">
        <v>1300</v>
      </c>
      <c r="B36" s="78" t="s">
        <v>23</v>
      </c>
      <c r="C36" s="78"/>
      <c r="D36" s="21"/>
      <c r="E36" s="21"/>
      <c r="F36" s="31"/>
      <c r="G36" s="31"/>
      <c r="H36" s="31"/>
      <c r="I36" s="31"/>
      <c r="J36" s="32"/>
      <c r="K36" s="32"/>
      <c r="L36" s="32"/>
      <c r="M36" s="32"/>
      <c r="N36" s="108">
        <f t="shared" si="1"/>
        <v>0</v>
      </c>
      <c r="O36" s="32"/>
      <c r="P36" s="32"/>
      <c r="Q36" s="32"/>
      <c r="R36" s="188"/>
      <c r="S36" s="32"/>
      <c r="T36" s="32"/>
      <c r="U36" s="22">
        <f t="shared" si="17"/>
        <v>0</v>
      </c>
      <c r="V36" s="32"/>
      <c r="W36" s="32"/>
      <c r="X36" s="32"/>
      <c r="Y36" s="22">
        <f t="shared" si="8"/>
        <v>0</v>
      </c>
      <c r="Z36" s="32"/>
      <c r="AA36" s="12"/>
      <c r="AB36" s="4"/>
      <c r="AC36" s="37"/>
      <c r="AD36" s="4"/>
      <c r="AE36" s="4"/>
    </row>
    <row r="37" spans="1:31" x14ac:dyDescent="0.3">
      <c r="A37" s="20"/>
      <c r="B37" s="77" t="s">
        <v>0</v>
      </c>
      <c r="C37" s="78" t="s">
        <v>59</v>
      </c>
      <c r="D37" s="21">
        <f>94591/12*6+205</f>
        <v>47500.5</v>
      </c>
      <c r="E37" s="21">
        <f>94591/12*6+205</f>
        <v>47500.5</v>
      </c>
      <c r="F37" s="21">
        <v>32247.515436000012</v>
      </c>
      <c r="G37" s="21">
        <v>0</v>
      </c>
      <c r="H37" s="21">
        <v>0</v>
      </c>
      <c r="I37" s="21">
        <v>0</v>
      </c>
      <c r="J37" s="22"/>
      <c r="K37" s="22"/>
      <c r="L37" s="22"/>
      <c r="M37" s="22"/>
      <c r="N37" s="108">
        <f t="shared" si="1"/>
        <v>0</v>
      </c>
      <c r="O37" s="22"/>
      <c r="P37" s="22"/>
      <c r="Q37" s="22"/>
      <c r="R37" s="80"/>
      <c r="S37" s="22"/>
      <c r="T37" s="22"/>
      <c r="U37" s="22">
        <f t="shared" si="17"/>
        <v>0</v>
      </c>
      <c r="V37" s="22"/>
      <c r="W37" s="22"/>
      <c r="X37" s="22"/>
      <c r="Y37" s="22">
        <f t="shared" si="8"/>
        <v>0</v>
      </c>
      <c r="Z37" s="22"/>
      <c r="AA37" s="78" t="s">
        <v>153</v>
      </c>
      <c r="AB37" s="4"/>
      <c r="AC37" s="37"/>
      <c r="AD37" s="4"/>
      <c r="AE37" s="4"/>
    </row>
    <row r="38" spans="1:31" x14ac:dyDescent="0.3">
      <c r="A38" s="20"/>
      <c r="B38" s="77" t="s">
        <v>1</v>
      </c>
      <c r="C38" s="78" t="s">
        <v>66</v>
      </c>
      <c r="D38" s="21">
        <v>94591</v>
      </c>
      <c r="E38" s="21">
        <v>94591</v>
      </c>
      <c r="F38" s="21">
        <v>77857.428499999995</v>
      </c>
      <c r="G38" s="21">
        <v>97428.73</v>
      </c>
      <c r="H38" s="21">
        <v>97428.73</v>
      </c>
      <c r="I38" s="21">
        <v>70874.13</v>
      </c>
      <c r="J38" s="22">
        <f t="shared" ref="J38:J51" si="26">+H38-I38</f>
        <v>26554.599999999991</v>
      </c>
      <c r="K38" s="22"/>
      <c r="L38" s="22">
        <v>100351.5919</v>
      </c>
      <c r="M38" s="22">
        <f>+G38*1.03</f>
        <v>100351.5919</v>
      </c>
      <c r="N38" s="108">
        <f t="shared" si="1"/>
        <v>0</v>
      </c>
      <c r="O38" s="22">
        <v>100351.5919</v>
      </c>
      <c r="P38" s="22"/>
      <c r="Q38" s="22">
        <v>100351.5919</v>
      </c>
      <c r="R38" s="80">
        <v>103362.13965700001</v>
      </c>
      <c r="S38" s="22">
        <v>103362.13965700001</v>
      </c>
      <c r="T38" s="22">
        <f t="shared" ref="T38:T50" si="27">+R38-S38</f>
        <v>0</v>
      </c>
      <c r="U38" s="22">
        <f t="shared" si="17"/>
        <v>0</v>
      </c>
      <c r="V38" s="22">
        <f t="shared" ref="V38:W45" si="28">+R38*1.03</f>
        <v>106463.00384671001</v>
      </c>
      <c r="W38" s="22">
        <f t="shared" si="28"/>
        <v>106463.00384671001</v>
      </c>
      <c r="X38" s="22">
        <f t="shared" ref="X38:X51" si="29">+V38-W38</f>
        <v>0</v>
      </c>
      <c r="Y38" s="22">
        <f t="shared" si="8"/>
        <v>0</v>
      </c>
      <c r="Z38" s="22">
        <f t="shared" ref="Z38:Z45" si="30">+W38*1.03</f>
        <v>109656.89396211131</v>
      </c>
      <c r="AA38" s="23"/>
      <c r="AB38" s="4"/>
      <c r="AC38" s="37"/>
      <c r="AD38" s="37"/>
      <c r="AE38" s="4"/>
    </row>
    <row r="39" spans="1:31" ht="20.25" customHeight="1" x14ac:dyDescent="0.3">
      <c r="A39" s="20"/>
      <c r="B39" s="77" t="s">
        <v>2</v>
      </c>
      <c r="C39" s="78" t="s">
        <v>143</v>
      </c>
      <c r="D39" s="21">
        <v>94590.945092354799</v>
      </c>
      <c r="E39" s="21">
        <v>94590.945092354799</v>
      </c>
      <c r="F39" s="21">
        <v>80178.777197999982</v>
      </c>
      <c r="G39" s="21">
        <v>97429</v>
      </c>
      <c r="H39" s="21">
        <v>97429</v>
      </c>
      <c r="I39" s="21">
        <v>68733.78</v>
      </c>
      <c r="J39" s="22">
        <f t="shared" si="26"/>
        <v>28695.22</v>
      </c>
      <c r="K39" s="22">
        <v>21227</v>
      </c>
      <c r="L39" s="22">
        <v>100351.87</v>
      </c>
      <c r="M39" s="22">
        <f>+G39*1.03+21227</f>
        <v>121578.87</v>
      </c>
      <c r="N39" s="22">
        <f t="shared" si="1"/>
        <v>-21227</v>
      </c>
      <c r="O39" s="22">
        <v>100351.87</v>
      </c>
      <c r="P39" s="22">
        <v>21227</v>
      </c>
      <c r="Q39" s="22">
        <f>+O39+P39</f>
        <v>121578.87</v>
      </c>
      <c r="R39" s="22">
        <v>103362.4261</v>
      </c>
      <c r="S39" s="22">
        <v>97803</v>
      </c>
      <c r="T39" s="22">
        <f t="shared" si="27"/>
        <v>5559.4260999999969</v>
      </c>
      <c r="U39" s="22">
        <f t="shared" si="17"/>
        <v>-5559.4260999999969</v>
      </c>
      <c r="V39" s="22">
        <f t="shared" si="28"/>
        <v>106463.298883</v>
      </c>
      <c r="W39" s="22">
        <f t="shared" si="28"/>
        <v>100737.09</v>
      </c>
      <c r="X39" s="22">
        <f t="shared" si="29"/>
        <v>5726.2088829999993</v>
      </c>
      <c r="Y39" s="22">
        <f t="shared" si="8"/>
        <v>-5726.2088829999993</v>
      </c>
      <c r="Z39" s="22">
        <f t="shared" si="30"/>
        <v>103759.20269999999</v>
      </c>
      <c r="AA39" s="23" t="s">
        <v>167</v>
      </c>
      <c r="AB39" s="4"/>
      <c r="AC39" s="4"/>
      <c r="AD39" s="37"/>
      <c r="AE39" s="4"/>
    </row>
    <row r="40" spans="1:31" x14ac:dyDescent="0.3">
      <c r="A40" s="20"/>
      <c r="B40" s="77" t="s">
        <v>3</v>
      </c>
      <c r="C40" s="78" t="s">
        <v>119</v>
      </c>
      <c r="D40" s="21">
        <v>70067.366735077623</v>
      </c>
      <c r="E40" s="21">
        <v>70067.366735077623</v>
      </c>
      <c r="F40" s="21">
        <v>35254.497478999998</v>
      </c>
      <c r="G40" s="21">
        <v>72169.38773712996</v>
      </c>
      <c r="H40" s="21">
        <v>72169.38773712996</v>
      </c>
      <c r="I40" s="21">
        <v>44130.39</v>
      </c>
      <c r="J40" s="22">
        <f t="shared" si="26"/>
        <v>28038.997737129961</v>
      </c>
      <c r="K40" s="22"/>
      <c r="L40" s="22">
        <v>74334.46936924386</v>
      </c>
      <c r="M40" s="22">
        <f t="shared" ref="M40:M45" si="31">+G40*1.03</f>
        <v>74334.46936924386</v>
      </c>
      <c r="N40" s="22">
        <f t="shared" si="1"/>
        <v>0</v>
      </c>
      <c r="O40" s="22">
        <v>74334.46936924386</v>
      </c>
      <c r="P40" s="22"/>
      <c r="Q40" s="22">
        <v>74334.46936924386</v>
      </c>
      <c r="R40" s="22">
        <v>76564.503450321179</v>
      </c>
      <c r="S40" s="22">
        <v>82000</v>
      </c>
      <c r="T40" s="22">
        <f t="shared" si="27"/>
        <v>-5435.4965496788209</v>
      </c>
      <c r="U40" s="22">
        <f t="shared" si="17"/>
        <v>5435.4965496788209</v>
      </c>
      <c r="V40" s="22">
        <f t="shared" si="28"/>
        <v>78861.438553830812</v>
      </c>
      <c r="W40" s="22">
        <f t="shared" si="28"/>
        <v>84460</v>
      </c>
      <c r="X40" s="22">
        <f t="shared" si="29"/>
        <v>-5598.5614461691875</v>
      </c>
      <c r="Y40" s="22">
        <f t="shared" si="8"/>
        <v>5598.5614461691875</v>
      </c>
      <c r="Z40" s="22">
        <f t="shared" si="30"/>
        <v>86993.8</v>
      </c>
      <c r="AA40" s="23" t="s">
        <v>118</v>
      </c>
      <c r="AB40" s="4"/>
      <c r="AC40" s="4"/>
      <c r="AD40" s="37"/>
      <c r="AE40" s="4"/>
    </row>
    <row r="41" spans="1:31" x14ac:dyDescent="0.3">
      <c r="A41" s="20"/>
      <c r="B41" s="77" t="s">
        <v>4</v>
      </c>
      <c r="C41" s="78" t="s">
        <v>24</v>
      </c>
      <c r="D41" s="21">
        <v>70067.366735077623</v>
      </c>
      <c r="E41" s="21">
        <v>70067.366735077623</v>
      </c>
      <c r="F41" s="21">
        <v>62174.698078999994</v>
      </c>
      <c r="G41" s="21">
        <v>72169.38773712996</v>
      </c>
      <c r="H41" s="21">
        <v>72169.38773712996</v>
      </c>
      <c r="I41" s="21">
        <v>57145.32</v>
      </c>
      <c r="J41" s="22">
        <f t="shared" si="26"/>
        <v>15024.067737129961</v>
      </c>
      <c r="K41" s="22"/>
      <c r="L41" s="22">
        <v>74334.46936924386</v>
      </c>
      <c r="M41" s="22">
        <f t="shared" si="31"/>
        <v>74334.46936924386</v>
      </c>
      <c r="N41" s="22">
        <f t="shared" si="1"/>
        <v>0</v>
      </c>
      <c r="O41" s="22">
        <v>74334.46936924386</v>
      </c>
      <c r="P41" s="22"/>
      <c r="Q41" s="22">
        <v>74334.46936924386</v>
      </c>
      <c r="R41" s="22">
        <v>76564.503450321179</v>
      </c>
      <c r="S41" s="22">
        <f>+M41*1.03</f>
        <v>76564.503450321179</v>
      </c>
      <c r="T41" s="22">
        <f t="shared" si="27"/>
        <v>0</v>
      </c>
      <c r="U41" s="22"/>
      <c r="V41" s="22">
        <f t="shared" si="28"/>
        <v>78861.438553830812</v>
      </c>
      <c r="W41" s="22">
        <f t="shared" si="28"/>
        <v>78861.438553830812</v>
      </c>
      <c r="X41" s="22">
        <f t="shared" si="29"/>
        <v>0</v>
      </c>
      <c r="Y41" s="22"/>
      <c r="Z41" s="22">
        <f t="shared" si="30"/>
        <v>81227.281710445735</v>
      </c>
      <c r="AA41" s="23"/>
      <c r="AB41" s="4"/>
      <c r="AC41" s="4"/>
      <c r="AD41" s="37"/>
      <c r="AE41" s="4"/>
    </row>
    <row r="42" spans="1:31" x14ac:dyDescent="0.3">
      <c r="A42" s="20"/>
      <c r="B42" s="20" t="s">
        <v>5</v>
      </c>
      <c r="C42" s="12" t="s">
        <v>67</v>
      </c>
      <c r="D42" s="21">
        <v>89504.054267388172</v>
      </c>
      <c r="E42" s="21">
        <v>89504.054267388172</v>
      </c>
      <c r="F42" s="21">
        <v>72698.478435000012</v>
      </c>
      <c r="G42" s="21">
        <v>92189.175895409819</v>
      </c>
      <c r="H42" s="21">
        <v>92189.175895409819</v>
      </c>
      <c r="I42" s="21">
        <v>57145.32</v>
      </c>
      <c r="J42" s="22">
        <f t="shared" si="26"/>
        <v>35043.855895409819</v>
      </c>
      <c r="K42" s="22"/>
      <c r="L42" s="22">
        <v>94954.851172272116</v>
      </c>
      <c r="M42" s="22">
        <f t="shared" si="31"/>
        <v>94954.851172272116</v>
      </c>
      <c r="N42" s="22">
        <f t="shared" si="1"/>
        <v>0</v>
      </c>
      <c r="O42" s="22">
        <v>94954.851172272116</v>
      </c>
      <c r="P42" s="22"/>
      <c r="Q42" s="22">
        <v>94954.851172272116</v>
      </c>
      <c r="R42" s="22">
        <v>97803.496707440281</v>
      </c>
      <c r="S42" s="22">
        <f>+M42*1.03</f>
        <v>97803.496707440281</v>
      </c>
      <c r="T42" s="22">
        <f t="shared" si="27"/>
        <v>0</v>
      </c>
      <c r="U42" s="22">
        <f t="shared" si="17"/>
        <v>0</v>
      </c>
      <c r="V42" s="22">
        <f t="shared" si="28"/>
        <v>100737.60160866349</v>
      </c>
      <c r="W42" s="22">
        <f t="shared" si="28"/>
        <v>100737.60160866349</v>
      </c>
      <c r="X42" s="22">
        <f t="shared" si="29"/>
        <v>0</v>
      </c>
      <c r="Y42" s="22">
        <f t="shared" si="8"/>
        <v>0</v>
      </c>
      <c r="Z42" s="22">
        <f t="shared" si="30"/>
        <v>103759.7296569234</v>
      </c>
      <c r="AA42" s="23"/>
      <c r="AB42" s="4"/>
      <c r="AC42" s="4"/>
      <c r="AD42" s="4"/>
      <c r="AE42" s="4"/>
    </row>
    <row r="43" spans="1:31" x14ac:dyDescent="0.3">
      <c r="A43" s="20"/>
      <c r="B43" s="20" t="s">
        <v>6</v>
      </c>
      <c r="C43" s="12" t="s">
        <v>24</v>
      </c>
      <c r="D43" s="21">
        <v>74054.199902303561</v>
      </c>
      <c r="E43" s="21">
        <v>74054.199902303561</v>
      </c>
      <c r="F43" s="21">
        <v>68023.187993999993</v>
      </c>
      <c r="G43" s="21">
        <v>76275.825899372663</v>
      </c>
      <c r="H43" s="21">
        <v>76275.825899372663</v>
      </c>
      <c r="I43" s="21">
        <v>61493.83</v>
      </c>
      <c r="J43" s="22">
        <f t="shared" si="26"/>
        <v>14781.995899372661</v>
      </c>
      <c r="K43" s="22"/>
      <c r="L43" s="22">
        <v>78564.100676353846</v>
      </c>
      <c r="M43" s="22">
        <f t="shared" si="31"/>
        <v>78564.100676353846</v>
      </c>
      <c r="N43" s="22">
        <f t="shared" si="1"/>
        <v>0</v>
      </c>
      <c r="O43" s="22">
        <v>78564.100676353846</v>
      </c>
      <c r="P43" s="22"/>
      <c r="Q43" s="22">
        <v>78564.100676353846</v>
      </c>
      <c r="R43" s="22">
        <v>80921.023696644465</v>
      </c>
      <c r="S43" s="22">
        <f>+M43*1.03</f>
        <v>80921.023696644465</v>
      </c>
      <c r="T43" s="22">
        <f t="shared" si="27"/>
        <v>0</v>
      </c>
      <c r="U43" s="22">
        <f t="shared" si="17"/>
        <v>0</v>
      </c>
      <c r="V43" s="22">
        <f t="shared" si="28"/>
        <v>83348.6544075438</v>
      </c>
      <c r="W43" s="22">
        <f t="shared" si="28"/>
        <v>83348.6544075438</v>
      </c>
      <c r="X43" s="22">
        <f t="shared" si="29"/>
        <v>0</v>
      </c>
      <c r="Y43" s="22">
        <f t="shared" si="8"/>
        <v>0</v>
      </c>
      <c r="Z43" s="22">
        <f t="shared" si="30"/>
        <v>85849.114039770109</v>
      </c>
      <c r="AA43" s="23"/>
      <c r="AB43" s="4"/>
      <c r="AC43" s="4"/>
      <c r="AD43" s="4"/>
      <c r="AE43" s="4"/>
    </row>
    <row r="44" spans="1:31" x14ac:dyDescent="0.3">
      <c r="A44" s="20"/>
      <c r="B44" s="20" t="s">
        <v>7</v>
      </c>
      <c r="C44" s="12" t="s">
        <v>25</v>
      </c>
      <c r="D44" s="21">
        <v>79441.458883307962</v>
      </c>
      <c r="E44" s="21">
        <v>79441.458883307962</v>
      </c>
      <c r="F44" s="21">
        <v>67530.749999999985</v>
      </c>
      <c r="G44" s="21">
        <v>81824.702649807208</v>
      </c>
      <c r="H44" s="21">
        <v>81824.702649807208</v>
      </c>
      <c r="I44" s="21">
        <v>32845.130000000005</v>
      </c>
      <c r="J44" s="22">
        <f t="shared" si="26"/>
        <v>48979.572649807204</v>
      </c>
      <c r="K44" s="22"/>
      <c r="L44" s="22">
        <v>84279.44372930142</v>
      </c>
      <c r="M44" s="22">
        <f t="shared" si="31"/>
        <v>84279.44372930142</v>
      </c>
      <c r="N44" s="22">
        <f t="shared" si="1"/>
        <v>0</v>
      </c>
      <c r="O44" s="22">
        <v>84279.44372930142</v>
      </c>
      <c r="P44" s="22"/>
      <c r="Q44" s="22">
        <v>84279.44372930142</v>
      </c>
      <c r="R44" s="22">
        <v>86807.82704118047</v>
      </c>
      <c r="S44" s="22">
        <f>+M44*1.03</f>
        <v>86807.82704118047</v>
      </c>
      <c r="T44" s="22">
        <f t="shared" si="27"/>
        <v>0</v>
      </c>
      <c r="U44" s="22">
        <f t="shared" si="17"/>
        <v>0</v>
      </c>
      <c r="V44" s="22">
        <f t="shared" si="28"/>
        <v>89412.061852415893</v>
      </c>
      <c r="W44" s="22">
        <f t="shared" si="28"/>
        <v>89412.061852415893</v>
      </c>
      <c r="X44" s="22">
        <f t="shared" si="29"/>
        <v>0</v>
      </c>
      <c r="Y44" s="22">
        <f t="shared" si="8"/>
        <v>0</v>
      </c>
      <c r="Z44" s="22">
        <f t="shared" si="30"/>
        <v>92094.423707988375</v>
      </c>
      <c r="AA44" s="23"/>
      <c r="AB44" s="4"/>
      <c r="AC44" s="4"/>
      <c r="AD44" s="4"/>
      <c r="AE44" s="4"/>
    </row>
    <row r="45" spans="1:31" x14ac:dyDescent="0.3">
      <c r="A45" s="20"/>
      <c r="B45" s="38" t="s">
        <v>8</v>
      </c>
      <c r="C45" s="12" t="s">
        <v>26</v>
      </c>
      <c r="D45" s="21">
        <v>60526.825815853692</v>
      </c>
      <c r="E45" s="21">
        <v>60526.825815853692</v>
      </c>
      <c r="F45" s="21">
        <v>37223.119174999993</v>
      </c>
      <c r="G45" s="21">
        <v>62342.630590329303</v>
      </c>
      <c r="H45" s="21">
        <v>62342.630590329303</v>
      </c>
      <c r="I45" s="21">
        <v>46489.33</v>
      </c>
      <c r="J45" s="22">
        <f t="shared" si="26"/>
        <v>15853.300590329301</v>
      </c>
      <c r="K45" s="22"/>
      <c r="L45" s="22">
        <v>64212.909508039185</v>
      </c>
      <c r="M45" s="22">
        <f t="shared" si="31"/>
        <v>64212.909508039185</v>
      </c>
      <c r="N45" s="22">
        <f t="shared" si="1"/>
        <v>0</v>
      </c>
      <c r="O45" s="22">
        <v>64212.909508039185</v>
      </c>
      <c r="P45" s="22"/>
      <c r="Q45" s="22">
        <v>64212.909508039185</v>
      </c>
      <c r="R45" s="22">
        <v>66139.296793280359</v>
      </c>
      <c r="S45" s="22">
        <f>+M45*1.03</f>
        <v>66139.296793280359</v>
      </c>
      <c r="T45" s="22">
        <f t="shared" si="27"/>
        <v>0</v>
      </c>
      <c r="U45" s="22">
        <f t="shared" si="17"/>
        <v>0</v>
      </c>
      <c r="V45" s="22">
        <f t="shared" si="28"/>
        <v>68123.475697078771</v>
      </c>
      <c r="W45" s="22">
        <f t="shared" si="28"/>
        <v>68123.475697078771</v>
      </c>
      <c r="X45" s="22">
        <f t="shared" si="29"/>
        <v>0</v>
      </c>
      <c r="Y45" s="22">
        <f t="shared" si="8"/>
        <v>0</v>
      </c>
      <c r="Z45" s="22">
        <f t="shared" si="30"/>
        <v>70167.179967991135</v>
      </c>
      <c r="AA45" s="23"/>
      <c r="AB45" s="4"/>
      <c r="AC45" s="4"/>
      <c r="AD45" s="4"/>
      <c r="AE45" s="4"/>
    </row>
    <row r="46" spans="1:31" x14ac:dyDescent="0.3">
      <c r="A46" s="20"/>
      <c r="B46" s="39">
        <v>10</v>
      </c>
      <c r="C46" s="12" t="s">
        <v>27</v>
      </c>
      <c r="D46" s="21">
        <f>94591/12*6+205</f>
        <v>47500.5</v>
      </c>
      <c r="E46" s="21">
        <f>94591/12*6+205</f>
        <v>47500.5</v>
      </c>
      <c r="F46" s="21">
        <v>35658.138032000003</v>
      </c>
      <c r="G46" s="21">
        <v>0</v>
      </c>
      <c r="H46" s="21">
        <v>0</v>
      </c>
      <c r="I46" s="21">
        <v>0</v>
      </c>
      <c r="J46" s="22">
        <f t="shared" si="26"/>
        <v>0</v>
      </c>
      <c r="K46" s="22"/>
      <c r="L46" s="22"/>
      <c r="M46" s="22"/>
      <c r="N46" s="22">
        <f t="shared" si="1"/>
        <v>0</v>
      </c>
      <c r="O46" s="22"/>
      <c r="P46" s="22"/>
      <c r="Q46" s="22"/>
      <c r="R46" s="22"/>
      <c r="S46" s="22"/>
      <c r="T46" s="22">
        <f t="shared" si="27"/>
        <v>0</v>
      </c>
      <c r="U46" s="22">
        <f t="shared" si="17"/>
        <v>0</v>
      </c>
      <c r="V46" s="22">
        <v>0</v>
      </c>
      <c r="W46" s="22">
        <v>0</v>
      </c>
      <c r="X46" s="22">
        <f t="shared" si="29"/>
        <v>0</v>
      </c>
      <c r="Y46" s="22">
        <f t="shared" si="8"/>
        <v>0</v>
      </c>
      <c r="Z46" s="22">
        <v>0</v>
      </c>
      <c r="AA46" s="12" t="s">
        <v>152</v>
      </c>
      <c r="AB46" s="4"/>
      <c r="AC46" s="4"/>
      <c r="AD46" s="4"/>
      <c r="AE46" s="4"/>
    </row>
    <row r="47" spans="1:31" x14ac:dyDescent="0.3">
      <c r="A47" s="20"/>
      <c r="B47" s="39">
        <v>11</v>
      </c>
      <c r="C47" s="12" t="s">
        <v>65</v>
      </c>
      <c r="D47" s="21">
        <v>70067.366735077623</v>
      </c>
      <c r="E47" s="21">
        <v>70067.366735077623</v>
      </c>
      <c r="F47" s="21">
        <v>38631.909999999996</v>
      </c>
      <c r="G47" s="21">
        <v>72169.38773712996</v>
      </c>
      <c r="H47" s="21">
        <v>72169.38773712996</v>
      </c>
      <c r="I47" s="21">
        <v>52962.98</v>
      </c>
      <c r="J47" s="22">
        <f t="shared" si="26"/>
        <v>19206.407737129957</v>
      </c>
      <c r="K47" s="22"/>
      <c r="L47" s="22">
        <v>74334.46936924386</v>
      </c>
      <c r="M47" s="22">
        <f>+G47*1.03</f>
        <v>74334.46936924386</v>
      </c>
      <c r="N47" s="22">
        <f t="shared" si="1"/>
        <v>0</v>
      </c>
      <c r="O47" s="22">
        <v>74334.46936924386</v>
      </c>
      <c r="P47" s="22"/>
      <c r="Q47" s="22">
        <v>74334.46936924386</v>
      </c>
      <c r="R47" s="22">
        <v>76564.503450321179</v>
      </c>
      <c r="S47" s="22">
        <f>+M47*1.03</f>
        <v>76564.503450321179</v>
      </c>
      <c r="T47" s="22">
        <f t="shared" si="27"/>
        <v>0</v>
      </c>
      <c r="U47" s="22">
        <f t="shared" si="17"/>
        <v>0</v>
      </c>
      <c r="V47" s="22">
        <f>+R47*1.03</f>
        <v>78861.438553830812</v>
      </c>
      <c r="W47" s="22">
        <f>+S47*1.03</f>
        <v>78861.438553830812</v>
      </c>
      <c r="X47" s="22">
        <f t="shared" si="29"/>
        <v>0</v>
      </c>
      <c r="Y47" s="22">
        <f t="shared" si="8"/>
        <v>0</v>
      </c>
      <c r="Z47" s="22">
        <f>+W47*1.03</f>
        <v>81227.281710445735</v>
      </c>
      <c r="AA47" s="23"/>
      <c r="AB47" s="4"/>
      <c r="AC47" s="4"/>
      <c r="AD47" s="4"/>
      <c r="AE47" s="4"/>
    </row>
    <row r="48" spans="1:31" x14ac:dyDescent="0.3">
      <c r="A48" s="20"/>
      <c r="B48" s="39">
        <v>12</v>
      </c>
      <c r="C48" s="12" t="s">
        <v>28</v>
      </c>
      <c r="D48" s="21">
        <v>0</v>
      </c>
      <c r="E48" s="21">
        <v>0</v>
      </c>
      <c r="F48" s="21"/>
      <c r="G48" s="21">
        <v>0</v>
      </c>
      <c r="H48" s="21">
        <v>0</v>
      </c>
      <c r="I48" s="21">
        <v>0</v>
      </c>
      <c r="J48" s="22">
        <f t="shared" si="26"/>
        <v>0</v>
      </c>
      <c r="K48" s="22"/>
      <c r="L48" s="22">
        <v>0</v>
      </c>
      <c r="M48" s="22">
        <v>0</v>
      </c>
      <c r="N48" s="22">
        <f t="shared" si="1"/>
        <v>0</v>
      </c>
      <c r="O48" s="22">
        <v>0</v>
      </c>
      <c r="P48" s="22"/>
      <c r="Q48" s="22">
        <v>0</v>
      </c>
      <c r="R48" s="22">
        <v>0</v>
      </c>
      <c r="S48" s="22">
        <v>0</v>
      </c>
      <c r="T48" s="22">
        <f t="shared" si="27"/>
        <v>0</v>
      </c>
      <c r="U48" s="22">
        <f t="shared" si="17"/>
        <v>0</v>
      </c>
      <c r="V48" s="22">
        <v>0</v>
      </c>
      <c r="W48" s="22">
        <v>0</v>
      </c>
      <c r="X48" s="22">
        <f t="shared" si="29"/>
        <v>0</v>
      </c>
      <c r="Y48" s="22">
        <f t="shared" si="8"/>
        <v>0</v>
      </c>
      <c r="Z48" s="22">
        <v>0</v>
      </c>
      <c r="AA48" s="23" t="s">
        <v>100</v>
      </c>
      <c r="AB48" s="4"/>
      <c r="AC48" s="4"/>
      <c r="AD48" s="4"/>
      <c r="AE48" s="4"/>
    </row>
    <row r="49" spans="1:56" x14ac:dyDescent="0.3">
      <c r="A49" s="20"/>
      <c r="B49" s="39">
        <v>13</v>
      </c>
      <c r="C49" s="12" t="s">
        <v>24</v>
      </c>
      <c r="D49" s="40">
        <v>70067.366735077623</v>
      </c>
      <c r="E49" s="40">
        <v>70067.366735077623</v>
      </c>
      <c r="F49" s="21">
        <v>55558.906006999969</v>
      </c>
      <c r="G49" s="21">
        <v>72169.38773712996</v>
      </c>
      <c r="H49" s="113">
        <f>72169.39-25000</f>
        <v>47169.39</v>
      </c>
      <c r="I49" s="21">
        <v>26770.92</v>
      </c>
      <c r="J49" s="22">
        <f t="shared" si="26"/>
        <v>20398.47</v>
      </c>
      <c r="K49" s="22"/>
      <c r="L49" s="22">
        <v>74334.46936924386</v>
      </c>
      <c r="M49" s="22">
        <f>+G49*1.03</f>
        <v>74334.46936924386</v>
      </c>
      <c r="N49" s="22">
        <f t="shared" si="1"/>
        <v>0</v>
      </c>
      <c r="O49" s="22">
        <v>74334.46936924386</v>
      </c>
      <c r="P49" s="22"/>
      <c r="Q49" s="22">
        <v>74334.46936924386</v>
      </c>
      <c r="R49" s="22">
        <v>76564.503450321179</v>
      </c>
      <c r="S49" s="22">
        <f>+M49*1.03</f>
        <v>76564.503450321179</v>
      </c>
      <c r="T49" s="22">
        <f t="shared" si="27"/>
        <v>0</v>
      </c>
      <c r="U49" s="22">
        <f t="shared" si="17"/>
        <v>0</v>
      </c>
      <c r="V49" s="22">
        <f>+R49*1.03</f>
        <v>78861.438553830812</v>
      </c>
      <c r="W49" s="22">
        <f>+S49*1.03</f>
        <v>78861.438553830812</v>
      </c>
      <c r="X49" s="22">
        <f t="shared" si="29"/>
        <v>0</v>
      </c>
      <c r="Y49" s="22">
        <f t="shared" si="8"/>
        <v>0</v>
      </c>
      <c r="Z49" s="22">
        <f>+W49*1.03</f>
        <v>81227.281710445735</v>
      </c>
      <c r="AA49" s="23"/>
      <c r="AB49" s="4"/>
      <c r="AC49" s="4"/>
      <c r="AD49" s="4"/>
      <c r="AE49" s="4"/>
    </row>
    <row r="50" spans="1:56" x14ac:dyDescent="0.3">
      <c r="A50" s="20"/>
      <c r="B50" s="39">
        <v>14</v>
      </c>
      <c r="C50" s="39" t="s">
        <v>24</v>
      </c>
      <c r="D50" s="40">
        <v>70067.366735077623</v>
      </c>
      <c r="E50" s="40">
        <v>70067.366735077623</v>
      </c>
      <c r="F50" s="21">
        <v>65725.157722999997</v>
      </c>
      <c r="G50" s="21">
        <v>70067.366735077623</v>
      </c>
      <c r="H50" s="21">
        <v>70067.366735077623</v>
      </c>
      <c r="I50" s="21">
        <v>62302.9</v>
      </c>
      <c r="J50" s="22">
        <f t="shared" si="26"/>
        <v>7764.4667350776217</v>
      </c>
      <c r="K50" s="22"/>
      <c r="L50" s="22">
        <v>72169.38773712996</v>
      </c>
      <c r="M50" s="22">
        <f>+G50*1.03</f>
        <v>72169.38773712996</v>
      </c>
      <c r="N50" s="22">
        <f t="shared" si="1"/>
        <v>0</v>
      </c>
      <c r="O50" s="22">
        <v>72169.38773712996</v>
      </c>
      <c r="P50" s="22"/>
      <c r="Q50" s="22">
        <v>72169.38773712996</v>
      </c>
      <c r="R50" s="22">
        <v>74334.46936924386</v>
      </c>
      <c r="S50" s="22">
        <f>+M50*1.03</f>
        <v>74334.46936924386</v>
      </c>
      <c r="T50" s="22">
        <f t="shared" si="27"/>
        <v>0</v>
      </c>
      <c r="U50" s="22">
        <f t="shared" si="17"/>
        <v>0</v>
      </c>
      <c r="V50" s="22">
        <f>+R50*1.03</f>
        <v>76564.503450321179</v>
      </c>
      <c r="W50" s="22">
        <f>+S50*1.03</f>
        <v>76564.503450321179</v>
      </c>
      <c r="X50" s="22">
        <f t="shared" si="29"/>
        <v>0</v>
      </c>
      <c r="Y50" s="22">
        <f t="shared" si="8"/>
        <v>0</v>
      </c>
      <c r="Z50" s="22">
        <f>+W50*1.03</f>
        <v>78861.438553830812</v>
      </c>
      <c r="AA50" s="23"/>
      <c r="AB50" s="4"/>
      <c r="AC50" s="4"/>
      <c r="AD50" s="4"/>
      <c r="AE50" s="4"/>
    </row>
    <row r="51" spans="1:56" x14ac:dyDescent="0.3">
      <c r="A51" s="20"/>
      <c r="B51" s="39">
        <v>15</v>
      </c>
      <c r="C51" s="39" t="s">
        <v>95</v>
      </c>
      <c r="D51" s="40">
        <v>0</v>
      </c>
      <c r="E51" s="40">
        <v>0</v>
      </c>
      <c r="F51" s="21">
        <v>0</v>
      </c>
      <c r="G51" s="21">
        <v>0</v>
      </c>
      <c r="H51" s="21">
        <v>0</v>
      </c>
      <c r="I51" s="21">
        <v>0</v>
      </c>
      <c r="J51" s="22">
        <f t="shared" si="26"/>
        <v>0</v>
      </c>
      <c r="K51" s="22"/>
      <c r="L51" s="22">
        <v>0</v>
      </c>
      <c r="M51" s="22">
        <v>0</v>
      </c>
      <c r="N51" s="22">
        <f t="shared" si="1"/>
        <v>0</v>
      </c>
      <c r="O51" s="22">
        <v>0</v>
      </c>
      <c r="P51" s="22"/>
      <c r="Q51" s="22">
        <v>0</v>
      </c>
      <c r="R51" s="22">
        <v>0</v>
      </c>
      <c r="S51" s="22">
        <v>0</v>
      </c>
      <c r="T51" s="22"/>
      <c r="U51" s="22">
        <f t="shared" si="17"/>
        <v>0</v>
      </c>
      <c r="V51" s="22">
        <v>0</v>
      </c>
      <c r="W51" s="22">
        <v>0</v>
      </c>
      <c r="X51" s="22">
        <f t="shared" si="29"/>
        <v>0</v>
      </c>
      <c r="Y51" s="22">
        <f t="shared" si="8"/>
        <v>0</v>
      </c>
      <c r="Z51" s="22">
        <v>0</v>
      </c>
      <c r="AA51" s="23" t="s">
        <v>106</v>
      </c>
      <c r="AB51" s="4"/>
      <c r="AC51" s="4"/>
      <c r="AD51" s="4"/>
      <c r="AE51" s="4"/>
    </row>
    <row r="52" spans="1:56" x14ac:dyDescent="0.3">
      <c r="A52" s="11"/>
      <c r="B52" s="20"/>
      <c r="C52" s="28" t="s">
        <v>30</v>
      </c>
      <c r="D52" s="29">
        <f t="shared" ref="D52:S52" si="32">SUM(D37:D51)</f>
        <v>938046.31763659616</v>
      </c>
      <c r="E52" s="29">
        <f t="shared" si="32"/>
        <v>938046.31763659616</v>
      </c>
      <c r="F52" s="29">
        <f t="shared" ref="F52" si="33">SUM(F37:F51)</f>
        <v>728762.56405800011</v>
      </c>
      <c r="G52" s="29">
        <f t="shared" si="32"/>
        <v>866234.98271851626</v>
      </c>
      <c r="H52" s="29">
        <f t="shared" ref="H52" si="34">SUM(H37:H51)</f>
        <v>841234.98498138634</v>
      </c>
      <c r="I52" s="29">
        <f t="shared" ref="I52:J52" si="35">SUM(I37:I51)</f>
        <v>580894.03</v>
      </c>
      <c r="J52" s="29">
        <f t="shared" si="35"/>
        <v>260340.95498138649</v>
      </c>
      <c r="K52" s="30"/>
      <c r="L52" s="30">
        <f t="shared" ref="L52" si="36">SUM(L37:L51)</f>
        <v>892222.03220007184</v>
      </c>
      <c r="M52" s="30">
        <f t="shared" si="32"/>
        <v>913449.03220007184</v>
      </c>
      <c r="N52" s="22"/>
      <c r="O52" s="30">
        <f t="shared" ref="O52:Q52" si="37">SUM(O37:O51)</f>
        <v>892222.03220007184</v>
      </c>
      <c r="P52" s="30">
        <f t="shared" si="37"/>
        <v>21227</v>
      </c>
      <c r="Q52" s="30">
        <f t="shared" si="37"/>
        <v>913449.03220007184</v>
      </c>
      <c r="R52" s="30">
        <f t="shared" ref="R52" si="38">SUM(R37:R51)</f>
        <v>918988.69316607399</v>
      </c>
      <c r="S52" s="30">
        <f t="shared" si="32"/>
        <v>918864.76361575292</v>
      </c>
      <c r="T52" s="30"/>
      <c r="U52" s="22">
        <f t="shared" si="17"/>
        <v>-123.9295503210742</v>
      </c>
      <c r="V52" s="30">
        <f t="shared" ref="V52" si="39">SUM(V37:V51)</f>
        <v>946558.35396105645</v>
      </c>
      <c r="W52" s="30">
        <f t="shared" ref="W52:Z52" si="40">SUM(W37:W51)</f>
        <v>946430.70652422553</v>
      </c>
      <c r="X52" s="30"/>
      <c r="Y52" s="22">
        <f t="shared" si="8"/>
        <v>-127.64743683091365</v>
      </c>
      <c r="Z52" s="30">
        <f t="shared" si="40"/>
        <v>974823.62771995249</v>
      </c>
      <c r="AA52" s="12"/>
      <c r="AB52" s="4"/>
      <c r="AC52" s="4"/>
      <c r="AD52" s="4"/>
      <c r="AE52" s="4"/>
    </row>
    <row r="53" spans="1:56" x14ac:dyDescent="0.3">
      <c r="A53" s="11">
        <v>1330</v>
      </c>
      <c r="B53" s="20"/>
      <c r="C53" s="12" t="s">
        <v>29</v>
      </c>
      <c r="D53" s="40"/>
      <c r="E53" s="40"/>
      <c r="F53" s="12"/>
      <c r="G53" s="12"/>
      <c r="H53" s="12"/>
      <c r="I53" s="12"/>
      <c r="J53" s="19"/>
      <c r="K53" s="19"/>
      <c r="L53" s="19"/>
      <c r="M53" s="19"/>
      <c r="N53" s="22">
        <f t="shared" si="1"/>
        <v>0</v>
      </c>
      <c r="O53" s="19"/>
      <c r="P53" s="19"/>
      <c r="Q53" s="22"/>
      <c r="R53" s="19"/>
      <c r="S53" s="19"/>
      <c r="T53" s="19"/>
      <c r="U53" s="22">
        <f t="shared" si="17"/>
        <v>0</v>
      </c>
      <c r="V53" s="19"/>
      <c r="W53" s="19"/>
      <c r="X53" s="19"/>
      <c r="Y53" s="22">
        <f t="shared" si="8"/>
        <v>0</v>
      </c>
      <c r="Z53" s="19"/>
      <c r="AA53" s="12"/>
      <c r="AB53" s="4"/>
      <c r="AC53" s="4"/>
      <c r="AD53" s="4"/>
      <c r="AE53" s="4"/>
    </row>
    <row r="54" spans="1:56" s="110" customFormat="1" x14ac:dyDescent="0.3">
      <c r="A54" s="76">
        <v>1333</v>
      </c>
      <c r="B54" s="77"/>
      <c r="C54" s="78" t="s">
        <v>125</v>
      </c>
      <c r="D54" s="109">
        <f>345000-20000+23400</f>
        <v>348400</v>
      </c>
      <c r="E54" s="109">
        <f>345000-20000</f>
        <v>325000</v>
      </c>
      <c r="F54" s="109">
        <v>349423</v>
      </c>
      <c r="G54" s="109">
        <v>325000</v>
      </c>
      <c r="H54" s="109">
        <v>325000</v>
      </c>
      <c r="I54" s="40">
        <v>344615.18</v>
      </c>
      <c r="J54" s="22">
        <f t="shared" ref="J54:J57" si="41">+H54-I54</f>
        <v>-19615.179999999993</v>
      </c>
      <c r="K54" s="22"/>
      <c r="L54" s="41">
        <v>325000</v>
      </c>
      <c r="M54" s="41">
        <v>325000</v>
      </c>
      <c r="N54" s="22">
        <f t="shared" si="1"/>
        <v>0</v>
      </c>
      <c r="O54" s="41">
        <v>325000</v>
      </c>
      <c r="P54" s="41"/>
      <c r="Q54" s="41">
        <v>325000</v>
      </c>
      <c r="R54" s="41">
        <v>325000</v>
      </c>
      <c r="S54" s="41">
        <f t="shared" ref="S54:S56" si="42">325000+30800</f>
        <v>355800</v>
      </c>
      <c r="T54" s="22">
        <f t="shared" ref="T54:T57" si="43">+R54-S54</f>
        <v>-30800</v>
      </c>
      <c r="U54" s="22">
        <f t="shared" si="17"/>
        <v>30800</v>
      </c>
      <c r="V54" s="41">
        <v>325000</v>
      </c>
      <c r="W54" s="41">
        <f>325000+30800</f>
        <v>355800</v>
      </c>
      <c r="X54" s="41"/>
      <c r="Y54" s="22">
        <f t="shared" si="8"/>
        <v>30800</v>
      </c>
      <c r="Z54" s="41">
        <f t="shared" ref="Z54:Z56" si="44">325000+30800</f>
        <v>355800</v>
      </c>
      <c r="AA54" s="23" t="s">
        <v>155</v>
      </c>
      <c r="AB54" s="73"/>
      <c r="AC54" s="73"/>
      <c r="AD54" s="73"/>
      <c r="AE54" s="73"/>
      <c r="AF54" s="83"/>
      <c r="AG54" s="83"/>
      <c r="AH54" s="83"/>
      <c r="AI54" s="83"/>
      <c r="AJ54" s="83"/>
      <c r="AK54" s="83"/>
      <c r="AL54" s="83"/>
      <c r="AM54" s="83"/>
      <c r="AN54" s="83"/>
      <c r="AO54" s="83"/>
      <c r="AP54" s="83"/>
      <c r="AQ54" s="83"/>
      <c r="AR54" s="83"/>
      <c r="AS54" s="83"/>
      <c r="AT54" s="83"/>
      <c r="AU54" s="83"/>
      <c r="AV54" s="83"/>
      <c r="AW54" s="83"/>
      <c r="AX54" s="83"/>
      <c r="AY54" s="83"/>
      <c r="AZ54" s="83"/>
      <c r="BA54" s="83"/>
      <c r="BB54" s="83"/>
      <c r="BC54" s="83"/>
      <c r="BD54" s="83"/>
    </row>
    <row r="55" spans="1:56" s="110" customFormat="1" ht="18.600000000000001" customHeight="1" x14ac:dyDescent="0.3">
      <c r="A55" s="76">
        <v>1334</v>
      </c>
      <c r="B55" s="77"/>
      <c r="C55" s="78" t="s">
        <v>125</v>
      </c>
      <c r="D55" s="109">
        <f>345000-20000+10000+68736</f>
        <v>403736</v>
      </c>
      <c r="E55" s="109">
        <f>345000-20000+92000</f>
        <v>417000</v>
      </c>
      <c r="F55" s="109">
        <v>475358.38</v>
      </c>
      <c r="G55" s="109">
        <v>325000</v>
      </c>
      <c r="H55" s="109">
        <v>325000</v>
      </c>
      <c r="I55" s="40">
        <v>169240.46000000002</v>
      </c>
      <c r="J55" s="22">
        <f t="shared" si="41"/>
        <v>155759.53999999998</v>
      </c>
      <c r="K55" s="22">
        <v>155760</v>
      </c>
      <c r="L55" s="41">
        <v>325000</v>
      </c>
      <c r="M55" s="41">
        <f>325000+155760</f>
        <v>480760</v>
      </c>
      <c r="N55" s="22">
        <f t="shared" si="1"/>
        <v>-155760</v>
      </c>
      <c r="O55" s="41">
        <v>325000</v>
      </c>
      <c r="P55" s="41">
        <v>155760</v>
      </c>
      <c r="Q55" s="41">
        <f>325000+155760+30800</f>
        <v>511560</v>
      </c>
      <c r="R55" s="41">
        <v>325000</v>
      </c>
      <c r="S55" s="41">
        <f t="shared" si="42"/>
        <v>355800</v>
      </c>
      <c r="T55" s="22">
        <f t="shared" si="43"/>
        <v>-30800</v>
      </c>
      <c r="U55" s="22">
        <f t="shared" si="17"/>
        <v>30800</v>
      </c>
      <c r="V55" s="41">
        <v>325000</v>
      </c>
      <c r="W55" s="41">
        <f t="shared" ref="W55:W56" si="45">325000+30800</f>
        <v>355800</v>
      </c>
      <c r="X55" s="41"/>
      <c r="Y55" s="22">
        <f t="shared" si="8"/>
        <v>30800</v>
      </c>
      <c r="Z55" s="41">
        <f t="shared" si="44"/>
        <v>355800</v>
      </c>
      <c r="AA55" s="23" t="s">
        <v>158</v>
      </c>
      <c r="AB55" s="73"/>
      <c r="AC55" s="73"/>
      <c r="AD55" s="73"/>
      <c r="AE55" s="73"/>
      <c r="AF55" s="83"/>
      <c r="AG55" s="83"/>
      <c r="AH55" s="83"/>
      <c r="AI55" s="83"/>
      <c r="AJ55" s="83"/>
      <c r="AK55" s="83"/>
      <c r="AL55" s="83"/>
      <c r="AM55" s="83"/>
      <c r="AN55" s="83"/>
      <c r="AO55" s="83"/>
      <c r="AP55" s="83"/>
      <c r="AQ55" s="83"/>
      <c r="AR55" s="83"/>
      <c r="AS55" s="83"/>
      <c r="AT55" s="83"/>
      <c r="AU55" s="83"/>
      <c r="AV55" s="83"/>
      <c r="AW55" s="83"/>
      <c r="AX55" s="83"/>
      <c r="AY55" s="83"/>
      <c r="AZ55" s="83"/>
      <c r="BA55" s="83"/>
      <c r="BB55" s="83"/>
      <c r="BC55" s="83"/>
      <c r="BD55" s="83"/>
    </row>
    <row r="56" spans="1:56" s="110" customFormat="1" ht="18.600000000000001" customHeight="1" x14ac:dyDescent="0.3">
      <c r="A56" s="76">
        <v>1336</v>
      </c>
      <c r="B56" s="77"/>
      <c r="C56" s="78" t="s">
        <v>125</v>
      </c>
      <c r="D56" s="109">
        <f>345000-20000+10000+68736</f>
        <v>403736</v>
      </c>
      <c r="E56" s="109">
        <f>345000-20000+92000</f>
        <v>417000</v>
      </c>
      <c r="F56" s="109">
        <v>475358.38</v>
      </c>
      <c r="G56" s="109">
        <v>325000</v>
      </c>
      <c r="H56" s="109">
        <v>325000</v>
      </c>
      <c r="I56" s="40">
        <v>169240.46000000002</v>
      </c>
      <c r="J56" s="22">
        <f t="shared" ref="J56" si="46">+H56-I56</f>
        <v>155759.53999999998</v>
      </c>
      <c r="K56" s="22">
        <v>155760</v>
      </c>
      <c r="L56" s="41">
        <v>325000</v>
      </c>
      <c r="M56" s="41">
        <f>325000+155760</f>
        <v>480760</v>
      </c>
      <c r="N56" s="22">
        <f t="shared" ref="N56" si="47">+L56-M56</f>
        <v>-155760</v>
      </c>
      <c r="O56" s="117"/>
      <c r="P56" s="6"/>
      <c r="Q56" s="6"/>
      <c r="R56" s="41">
        <v>0</v>
      </c>
      <c r="S56" s="41">
        <f t="shared" si="42"/>
        <v>355800</v>
      </c>
      <c r="T56" s="22">
        <f t="shared" ref="T56" si="48">+R56-S56</f>
        <v>-355800</v>
      </c>
      <c r="U56" s="22">
        <f t="shared" si="17"/>
        <v>355800</v>
      </c>
      <c r="V56" s="41">
        <v>0</v>
      </c>
      <c r="W56" s="41">
        <f t="shared" si="45"/>
        <v>355800</v>
      </c>
      <c r="X56" s="41"/>
      <c r="Y56" s="22">
        <f t="shared" si="8"/>
        <v>355800</v>
      </c>
      <c r="Z56" s="41">
        <f t="shared" si="44"/>
        <v>355800</v>
      </c>
      <c r="AA56" s="23" t="s">
        <v>154</v>
      </c>
      <c r="AB56" s="73"/>
      <c r="AC56" s="73"/>
      <c r="AD56" s="73"/>
      <c r="AE56" s="7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83"/>
      <c r="BB56" s="83"/>
      <c r="BC56" s="83"/>
      <c r="BD56" s="83"/>
    </row>
    <row r="57" spans="1:56" x14ac:dyDescent="0.3">
      <c r="A57" s="11">
        <v>1335</v>
      </c>
      <c r="B57" s="20"/>
      <c r="C57" s="12" t="s">
        <v>64</v>
      </c>
      <c r="D57" s="40">
        <f>43782-12500</f>
        <v>31282</v>
      </c>
      <c r="E57" s="40">
        <f>43782-12500</f>
        <v>31282</v>
      </c>
      <c r="F57" s="40">
        <v>19617.349999999999</v>
      </c>
      <c r="G57" s="40">
        <f t="shared" ref="G57:V57" si="49">43782-25000</f>
        <v>18782</v>
      </c>
      <c r="H57" s="40">
        <f t="shared" si="49"/>
        <v>18782</v>
      </c>
      <c r="I57" s="40">
        <v>11773.82</v>
      </c>
      <c r="J57" s="22">
        <f t="shared" si="41"/>
        <v>7008.18</v>
      </c>
      <c r="K57" s="22"/>
      <c r="L57" s="40">
        <f t="shared" si="49"/>
        <v>18782</v>
      </c>
      <c r="M57" s="40">
        <f>43782-25000</f>
        <v>18782</v>
      </c>
      <c r="N57" s="22">
        <f t="shared" si="1"/>
        <v>0</v>
      </c>
      <c r="O57" s="40">
        <f t="shared" ref="O57" si="50">43782-25000</f>
        <v>18782</v>
      </c>
      <c r="P57" s="40"/>
      <c r="Q57" s="40">
        <f>43782-25000</f>
        <v>18782</v>
      </c>
      <c r="R57" s="174">
        <f t="shared" si="49"/>
        <v>18782</v>
      </c>
      <c r="S57" s="174">
        <f>+R57/2*3</f>
        <v>28173</v>
      </c>
      <c r="T57" s="80">
        <f t="shared" si="43"/>
        <v>-9391</v>
      </c>
      <c r="U57" s="80">
        <f t="shared" si="17"/>
        <v>9391</v>
      </c>
      <c r="V57" s="174">
        <f t="shared" si="49"/>
        <v>18782</v>
      </c>
      <c r="W57" s="40">
        <v>28200</v>
      </c>
      <c r="X57" s="174"/>
      <c r="Y57" s="80">
        <f t="shared" si="8"/>
        <v>9418</v>
      </c>
      <c r="Z57" s="174">
        <v>28200</v>
      </c>
      <c r="AA57" s="81" t="s">
        <v>160</v>
      </c>
      <c r="AB57" s="73"/>
      <c r="AC57" s="73"/>
      <c r="AD57" s="73"/>
      <c r="AE57" s="7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  <c r="BD57" s="83"/>
    </row>
    <row r="58" spans="1:56" x14ac:dyDescent="0.3">
      <c r="A58" s="11">
        <v>1335</v>
      </c>
      <c r="B58" s="20"/>
      <c r="C58" s="12" t="s">
        <v>108</v>
      </c>
      <c r="D58" s="42"/>
      <c r="E58" s="42"/>
      <c r="F58" s="40">
        <v>-413</v>
      </c>
      <c r="G58" s="40"/>
      <c r="H58" s="40"/>
      <c r="I58" s="40"/>
      <c r="J58" s="41"/>
      <c r="K58" s="41"/>
      <c r="L58" s="41"/>
      <c r="M58" s="41"/>
      <c r="N58" s="22">
        <f t="shared" si="1"/>
        <v>0</v>
      </c>
      <c r="P58" s="207"/>
      <c r="Q58" s="207"/>
      <c r="R58" s="173"/>
      <c r="S58" s="173"/>
      <c r="T58" s="173"/>
      <c r="U58" s="80">
        <f t="shared" si="17"/>
        <v>0</v>
      </c>
      <c r="V58" s="173"/>
      <c r="W58" s="173"/>
      <c r="X58" s="173"/>
      <c r="Y58" s="80">
        <f t="shared" si="8"/>
        <v>0</v>
      </c>
      <c r="Z58" s="173"/>
      <c r="AA58" s="78"/>
      <c r="AB58" s="73"/>
      <c r="AC58" s="73"/>
      <c r="AD58" s="73"/>
      <c r="AE58" s="7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  <c r="BB58" s="83"/>
      <c r="BC58" s="83"/>
      <c r="BD58" s="83"/>
    </row>
    <row r="59" spans="1:56" x14ac:dyDescent="0.3">
      <c r="A59" s="11"/>
      <c r="B59" s="20"/>
      <c r="C59" s="28" t="s">
        <v>30</v>
      </c>
      <c r="D59" s="35">
        <f t="shared" ref="D59:Z59" si="51">SUM(D54:D58)</f>
        <v>1187154</v>
      </c>
      <c r="E59" s="35">
        <f t="shared" si="51"/>
        <v>1190282</v>
      </c>
      <c r="F59" s="35">
        <f t="shared" si="51"/>
        <v>1319344.1100000001</v>
      </c>
      <c r="G59" s="35">
        <f t="shared" si="51"/>
        <v>993782</v>
      </c>
      <c r="H59" s="35">
        <f t="shared" ref="H59" si="52">SUM(H54:H58)</f>
        <v>993782</v>
      </c>
      <c r="I59" s="35">
        <f t="shared" si="51"/>
        <v>694869.92</v>
      </c>
      <c r="J59" s="35">
        <f t="shared" ref="J59" si="53">SUM(J54:J58)</f>
        <v>298912.07999999996</v>
      </c>
      <c r="K59" s="36"/>
      <c r="L59" s="36">
        <f t="shared" si="51"/>
        <v>993782</v>
      </c>
      <c r="M59" s="36">
        <f t="shared" si="51"/>
        <v>1305302</v>
      </c>
      <c r="N59" s="22"/>
      <c r="O59" s="36">
        <f>SUM(O54:O57)</f>
        <v>668782</v>
      </c>
      <c r="P59" s="36">
        <f>SUM(P54:P57)</f>
        <v>155760</v>
      </c>
      <c r="Q59" s="36">
        <f>SUM(Q54:Q57)</f>
        <v>855342</v>
      </c>
      <c r="R59" s="172">
        <f t="shared" si="51"/>
        <v>668782</v>
      </c>
      <c r="S59" s="36">
        <f t="shared" si="51"/>
        <v>1095573</v>
      </c>
      <c r="T59" s="36">
        <f>SUM(T15:T58)</f>
        <v>-471343.31260125455</v>
      </c>
      <c r="U59" s="22">
        <f t="shared" si="17"/>
        <v>426791</v>
      </c>
      <c r="V59" s="36">
        <f t="shared" si="51"/>
        <v>668782</v>
      </c>
      <c r="W59" s="36">
        <f t="shared" si="51"/>
        <v>1095600</v>
      </c>
      <c r="X59" s="36"/>
      <c r="Y59" s="22">
        <f t="shared" si="8"/>
        <v>426818</v>
      </c>
      <c r="Z59" s="36">
        <f t="shared" si="51"/>
        <v>1095600</v>
      </c>
      <c r="AA59" s="12"/>
      <c r="AB59" s="4"/>
      <c r="AC59" s="4"/>
      <c r="AD59" s="4"/>
      <c r="AE59" s="4"/>
    </row>
    <row r="60" spans="1:56" x14ac:dyDescent="0.3">
      <c r="A60" s="26">
        <v>1399</v>
      </c>
      <c r="B60" s="27"/>
      <c r="C60" s="28" t="s">
        <v>31</v>
      </c>
      <c r="D60" s="43">
        <f t="shared" ref="D60:Z60" si="54">+D59+D52</f>
        <v>2125200.317636596</v>
      </c>
      <c r="E60" s="43">
        <f t="shared" si="54"/>
        <v>2128328.317636596</v>
      </c>
      <c r="F60" s="43">
        <f t="shared" si="54"/>
        <v>2048106.6740580001</v>
      </c>
      <c r="G60" s="43">
        <f t="shared" si="54"/>
        <v>1860016.9827185161</v>
      </c>
      <c r="H60" s="43">
        <f t="shared" ref="H60" si="55">+H59+H52</f>
        <v>1835016.9849813865</v>
      </c>
      <c r="I60" s="43">
        <f t="shared" si="54"/>
        <v>1275763.9500000002</v>
      </c>
      <c r="J60" s="43">
        <f t="shared" ref="J60" si="56">+J59+J52</f>
        <v>559253.0349813865</v>
      </c>
      <c r="K60" s="44"/>
      <c r="L60" s="44">
        <f t="shared" si="54"/>
        <v>1886004.032200072</v>
      </c>
      <c r="M60" s="44">
        <f t="shared" si="54"/>
        <v>2218751.032200072</v>
      </c>
      <c r="N60" s="22"/>
      <c r="O60" s="44">
        <f>+O59+O52</f>
        <v>1561004.032200072</v>
      </c>
      <c r="P60" s="44">
        <f>+P59+P52</f>
        <v>176987</v>
      </c>
      <c r="Q60" s="44">
        <f>+Q59+Q52</f>
        <v>1768791.032200072</v>
      </c>
      <c r="R60" s="190">
        <f t="shared" si="54"/>
        <v>1587770.6931660739</v>
      </c>
      <c r="S60" s="44">
        <f t="shared" si="54"/>
        <v>2014437.763615753</v>
      </c>
      <c r="T60" s="44"/>
      <c r="U60" s="22">
        <f t="shared" si="17"/>
        <v>426667.07044967916</v>
      </c>
      <c r="V60" s="44">
        <f t="shared" si="54"/>
        <v>1615340.3539610566</v>
      </c>
      <c r="W60" s="44">
        <f t="shared" si="54"/>
        <v>2042030.7065242254</v>
      </c>
      <c r="X60" s="44">
        <f>SUM(X15:X59)</f>
        <v>-45888.881979292186</v>
      </c>
      <c r="Y60" s="22">
        <f t="shared" si="8"/>
        <v>426690.35256316885</v>
      </c>
      <c r="Z60" s="44">
        <f t="shared" si="54"/>
        <v>2070423.6277199525</v>
      </c>
      <c r="AA60" s="12"/>
      <c r="AB60" s="4"/>
      <c r="AC60" s="4"/>
      <c r="AD60" s="4"/>
      <c r="AE60" s="4"/>
    </row>
    <row r="61" spans="1:56" x14ac:dyDescent="0.3">
      <c r="A61" s="84" t="s">
        <v>138</v>
      </c>
      <c r="B61" s="45"/>
      <c r="C61" s="45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191"/>
      <c r="S61" s="46"/>
      <c r="T61" s="46"/>
      <c r="U61" s="46"/>
      <c r="V61" s="46"/>
      <c r="W61" s="46"/>
      <c r="X61" s="46"/>
      <c r="Y61" s="46"/>
      <c r="Z61" s="46"/>
      <c r="AA61" s="47"/>
      <c r="AB61" s="4"/>
      <c r="AC61" s="4"/>
      <c r="AD61" s="4"/>
      <c r="AE61" s="4"/>
    </row>
    <row r="62" spans="1:56" x14ac:dyDescent="0.3">
      <c r="A62" s="45" t="s">
        <v>124</v>
      </c>
      <c r="B62" s="45"/>
      <c r="C62" s="45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191"/>
      <c r="S62" s="46"/>
      <c r="T62" s="46"/>
      <c r="U62" s="46"/>
      <c r="V62" s="46"/>
      <c r="W62" s="46"/>
      <c r="X62" s="46"/>
      <c r="Y62" s="46"/>
      <c r="Z62" s="46"/>
      <c r="AA62" s="47"/>
      <c r="AB62" s="4"/>
      <c r="AC62" s="4"/>
      <c r="AD62" s="4"/>
      <c r="AE62" s="4"/>
    </row>
    <row r="63" spans="1:56" x14ac:dyDescent="0.3">
      <c r="A63" s="47" t="s">
        <v>147</v>
      </c>
      <c r="B63" s="47"/>
      <c r="C63" s="48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191"/>
      <c r="S63" s="46"/>
      <c r="T63" s="46"/>
      <c r="U63" s="46"/>
      <c r="V63" s="46"/>
      <c r="W63" s="46"/>
      <c r="X63" s="46"/>
      <c r="Y63" s="46"/>
      <c r="Z63" s="46"/>
      <c r="AA63" s="47"/>
      <c r="AB63" s="4"/>
      <c r="AC63" s="4"/>
      <c r="AD63" s="4"/>
      <c r="AE63" s="4"/>
    </row>
    <row r="64" spans="1:56" x14ac:dyDescent="0.3">
      <c r="A64" s="45" t="s">
        <v>18</v>
      </c>
      <c r="B64" s="47"/>
      <c r="C64" s="48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102"/>
      <c r="O64" s="102"/>
      <c r="P64" s="102"/>
      <c r="Q64" s="102"/>
      <c r="R64" s="191"/>
      <c r="S64" s="46"/>
      <c r="T64" s="46"/>
      <c r="U64" s="46"/>
      <c r="V64" s="46"/>
      <c r="W64" s="46"/>
      <c r="X64" s="46"/>
      <c r="Y64" s="46"/>
      <c r="Z64" s="46"/>
      <c r="AA64" s="47"/>
      <c r="AB64" s="4"/>
      <c r="AC64" s="4"/>
      <c r="AD64" s="4"/>
      <c r="AE64" s="4"/>
    </row>
    <row r="65" spans="1:31" ht="20.25" x14ac:dyDescent="0.3">
      <c r="A65" s="213" t="s">
        <v>137</v>
      </c>
      <c r="B65" s="213"/>
      <c r="C65" s="213"/>
      <c r="D65" s="46"/>
      <c r="E65" s="46"/>
      <c r="F65" s="46"/>
      <c r="G65" s="46"/>
      <c r="H65" s="46"/>
      <c r="I65" s="46"/>
      <c r="J65" s="46"/>
      <c r="K65" s="46"/>
      <c r="L65" s="46"/>
      <c r="M65" s="211"/>
      <c r="N65" s="211"/>
      <c r="O65" s="211"/>
      <c r="P65" s="211"/>
      <c r="Q65" s="211"/>
      <c r="R65" s="211"/>
      <c r="S65" s="211"/>
      <c r="T65" s="211"/>
      <c r="U65" s="211"/>
      <c r="V65" s="211"/>
      <c r="W65" s="211"/>
      <c r="X65" s="211"/>
      <c r="Y65" s="211"/>
      <c r="Z65" s="211"/>
      <c r="AA65" s="211"/>
      <c r="AC65" s="4"/>
      <c r="AD65" s="4"/>
      <c r="AE65" s="4"/>
    </row>
    <row r="66" spans="1:31" ht="20.25" x14ac:dyDescent="0.3">
      <c r="A66" s="214" t="s">
        <v>146</v>
      </c>
      <c r="B66" s="214"/>
      <c r="C66" s="214"/>
      <c r="D66" s="50"/>
      <c r="E66" s="50"/>
      <c r="F66" s="46"/>
      <c r="G66" s="46"/>
      <c r="H66" s="46"/>
      <c r="I66" s="46"/>
      <c r="J66" s="46"/>
      <c r="K66" s="46"/>
      <c r="AC66" s="4"/>
      <c r="AD66" s="4"/>
      <c r="AE66" s="4"/>
    </row>
    <row r="67" spans="1:31" ht="20.25" x14ac:dyDescent="0.3">
      <c r="A67" s="212" t="s">
        <v>19</v>
      </c>
      <c r="B67" s="212"/>
      <c r="C67" s="164"/>
      <c r="D67" s="49"/>
      <c r="E67" s="49"/>
      <c r="F67" s="46"/>
      <c r="G67" s="46"/>
      <c r="H67" s="46"/>
      <c r="I67" s="46"/>
      <c r="J67" s="46"/>
      <c r="K67" s="46"/>
      <c r="AC67" s="4"/>
      <c r="AD67" s="4"/>
      <c r="AE67" s="4"/>
    </row>
    <row r="68" spans="1:31" ht="20.25" x14ac:dyDescent="0.3">
      <c r="A68" s="205"/>
      <c r="B68" s="205"/>
      <c r="C68" s="164"/>
      <c r="D68" s="49"/>
      <c r="E68" s="49"/>
      <c r="F68" s="46"/>
      <c r="G68" s="46"/>
      <c r="H68" s="46"/>
      <c r="I68" s="46"/>
      <c r="J68" s="46"/>
      <c r="K68" s="46"/>
      <c r="AC68" s="4"/>
      <c r="AD68" s="4"/>
      <c r="AE68" s="4"/>
    </row>
    <row r="69" spans="1:31" x14ac:dyDescent="0.3">
      <c r="A69" s="11"/>
      <c r="B69" s="12"/>
      <c r="C69" s="12"/>
      <c r="D69" s="13" t="s">
        <v>13</v>
      </c>
      <c r="E69" s="13" t="s">
        <v>14</v>
      </c>
      <c r="F69" s="13" t="s">
        <v>107</v>
      </c>
      <c r="G69" s="13" t="s">
        <v>13</v>
      </c>
      <c r="H69" s="13" t="s">
        <v>13</v>
      </c>
      <c r="I69" s="13" t="s">
        <v>107</v>
      </c>
      <c r="J69" s="14" t="s">
        <v>101</v>
      </c>
      <c r="K69" s="14"/>
      <c r="L69" s="14" t="s">
        <v>13</v>
      </c>
      <c r="M69" s="14" t="s">
        <v>14</v>
      </c>
      <c r="N69" s="96"/>
      <c r="O69" s="14" t="s">
        <v>13</v>
      </c>
      <c r="P69" s="14"/>
      <c r="Q69" s="14" t="s">
        <v>14</v>
      </c>
      <c r="R69" s="180" t="s">
        <v>110</v>
      </c>
      <c r="S69" s="14" t="s">
        <v>14</v>
      </c>
      <c r="T69" s="14"/>
      <c r="U69" s="14"/>
      <c r="V69" s="14" t="s">
        <v>110</v>
      </c>
      <c r="W69" s="14" t="s">
        <v>14</v>
      </c>
      <c r="X69" s="14"/>
      <c r="Y69" s="14"/>
      <c r="Z69" s="14" t="s">
        <v>111</v>
      </c>
      <c r="AA69" s="13" t="s">
        <v>99</v>
      </c>
      <c r="AB69" s="4"/>
      <c r="AC69" s="4"/>
      <c r="AD69" s="4"/>
      <c r="AE69" s="4"/>
    </row>
    <row r="70" spans="1:31" x14ac:dyDescent="0.3">
      <c r="A70" s="11"/>
      <c r="B70" s="12"/>
      <c r="C70" s="12"/>
      <c r="D70" s="13">
        <v>2014</v>
      </c>
      <c r="E70" s="13">
        <v>2014</v>
      </c>
      <c r="F70" s="13">
        <v>2014</v>
      </c>
      <c r="G70" s="13">
        <v>2015</v>
      </c>
      <c r="H70" s="13">
        <v>2015</v>
      </c>
      <c r="I70" s="13">
        <v>2015</v>
      </c>
      <c r="J70" s="14">
        <v>2015</v>
      </c>
      <c r="K70" s="14"/>
      <c r="L70" s="14">
        <v>2016</v>
      </c>
      <c r="M70" s="14">
        <v>2016</v>
      </c>
      <c r="N70" s="96"/>
      <c r="O70" s="14">
        <v>2016</v>
      </c>
      <c r="P70" s="14"/>
      <c r="Q70" s="14">
        <v>2016</v>
      </c>
      <c r="R70" s="180">
        <v>2017</v>
      </c>
      <c r="S70" s="14">
        <v>2017</v>
      </c>
      <c r="T70" s="14"/>
      <c r="U70" s="14"/>
      <c r="V70" s="14">
        <v>2018</v>
      </c>
      <c r="W70" s="14">
        <v>2018</v>
      </c>
      <c r="X70" s="14"/>
      <c r="Y70" s="22">
        <f t="shared" ref="Y70:Y130" si="57">SUM(W70-V70)</f>
        <v>0</v>
      </c>
      <c r="Z70" s="14">
        <v>2019</v>
      </c>
      <c r="AA70" s="12"/>
      <c r="AB70" s="4"/>
      <c r="AC70" s="4"/>
      <c r="AD70" s="4"/>
      <c r="AE70" s="4"/>
    </row>
    <row r="71" spans="1:31" x14ac:dyDescent="0.3">
      <c r="A71" s="11">
        <v>1600</v>
      </c>
      <c r="B71" s="20" t="s">
        <v>32</v>
      </c>
      <c r="C71" s="12"/>
      <c r="D71" s="12"/>
      <c r="E71" s="12"/>
      <c r="F71" s="12"/>
      <c r="G71" s="12"/>
      <c r="H71" s="12"/>
      <c r="I71" s="12"/>
      <c r="J71" s="19"/>
      <c r="K71" s="19"/>
      <c r="L71" s="19"/>
      <c r="M71" s="19"/>
      <c r="N71" s="100"/>
      <c r="O71" s="19"/>
      <c r="P71" s="19"/>
      <c r="Q71" s="19"/>
      <c r="R71" s="183"/>
      <c r="S71" s="19"/>
      <c r="T71" s="19"/>
      <c r="U71" s="19"/>
      <c r="V71" s="19"/>
      <c r="W71" s="19"/>
      <c r="X71" s="19"/>
      <c r="Y71" s="22">
        <f t="shared" si="57"/>
        <v>0</v>
      </c>
      <c r="Z71" s="19"/>
      <c r="AA71" s="12"/>
      <c r="AB71" s="4"/>
      <c r="AC71" s="4"/>
      <c r="AD71" s="4"/>
      <c r="AE71" s="4"/>
    </row>
    <row r="72" spans="1:31" x14ac:dyDescent="0.3">
      <c r="A72" s="11"/>
      <c r="B72" s="20" t="s">
        <v>0</v>
      </c>
      <c r="C72" s="12" t="s">
        <v>77</v>
      </c>
      <c r="D72" s="42">
        <f>208000-68736-1614</f>
        <v>137650</v>
      </c>
      <c r="E72" s="42">
        <v>208000</v>
      </c>
      <c r="F72" s="42">
        <v>160940</v>
      </c>
      <c r="G72" s="42">
        <v>208000</v>
      </c>
      <c r="H72" s="42">
        <v>208000</v>
      </c>
      <c r="I72" s="42">
        <v>166142.12000000002</v>
      </c>
      <c r="J72" s="22">
        <f t="shared" ref="J72:J73" si="58">+H72-I72</f>
        <v>41857.879999999976</v>
      </c>
      <c r="K72" s="22"/>
      <c r="L72" s="51">
        <v>208000</v>
      </c>
      <c r="M72" s="51">
        <v>208000</v>
      </c>
      <c r="N72" s="108">
        <f t="shared" ref="N72:N123" si="59">+L72-M72</f>
        <v>0</v>
      </c>
      <c r="O72" s="51">
        <v>208000</v>
      </c>
      <c r="P72" s="51"/>
      <c r="Q72" s="51">
        <v>208000</v>
      </c>
      <c r="R72" s="171">
        <v>208000</v>
      </c>
      <c r="S72" s="51">
        <v>208000</v>
      </c>
      <c r="T72" s="22">
        <f t="shared" ref="T72:T73" si="60">+R72-S72</f>
        <v>0</v>
      </c>
      <c r="U72" s="22">
        <f t="shared" ref="U72:U130" si="61">SUM(S72-R72)</f>
        <v>0</v>
      </c>
      <c r="V72" s="51">
        <v>208000</v>
      </c>
      <c r="W72" s="51">
        <v>208000</v>
      </c>
      <c r="X72" s="51"/>
      <c r="Y72" s="22">
        <f t="shared" si="57"/>
        <v>0</v>
      </c>
      <c r="Z72" s="51">
        <v>208000</v>
      </c>
      <c r="AA72" s="12" t="s">
        <v>75</v>
      </c>
      <c r="AB72" s="4"/>
      <c r="AC72" s="4"/>
      <c r="AD72" s="4"/>
      <c r="AE72" s="4"/>
    </row>
    <row r="73" spans="1:31" x14ac:dyDescent="0.3">
      <c r="A73" s="11"/>
      <c r="B73" s="20" t="s">
        <v>1</v>
      </c>
      <c r="C73" s="12" t="s">
        <v>78</v>
      </c>
      <c r="D73" s="42">
        <f>20000+30000</f>
        <v>50000</v>
      </c>
      <c r="E73" s="42">
        <f>20000+30000</f>
        <v>50000</v>
      </c>
      <c r="F73" s="42">
        <v>32642</v>
      </c>
      <c r="G73" s="42">
        <v>50000</v>
      </c>
      <c r="H73" s="42">
        <v>50000</v>
      </c>
      <c r="I73" s="42">
        <v>14031.97</v>
      </c>
      <c r="J73" s="22">
        <f t="shared" si="58"/>
        <v>35968.03</v>
      </c>
      <c r="K73" s="22"/>
      <c r="L73" s="51">
        <v>50000</v>
      </c>
      <c r="M73" s="51">
        <v>50000</v>
      </c>
      <c r="N73" s="108">
        <f t="shared" si="59"/>
        <v>0</v>
      </c>
      <c r="O73" s="51">
        <v>50000</v>
      </c>
      <c r="P73" s="51"/>
      <c r="Q73" s="51">
        <v>50000</v>
      </c>
      <c r="R73" s="171">
        <v>50000</v>
      </c>
      <c r="S73" s="51">
        <v>50000</v>
      </c>
      <c r="T73" s="22">
        <f t="shared" si="60"/>
        <v>0</v>
      </c>
      <c r="U73" s="22">
        <f t="shared" si="61"/>
        <v>0</v>
      </c>
      <c r="V73" s="51">
        <v>50000</v>
      </c>
      <c r="W73" s="51">
        <v>50000</v>
      </c>
      <c r="X73" s="51"/>
      <c r="Y73" s="22">
        <f t="shared" si="57"/>
        <v>0</v>
      </c>
      <c r="Z73" s="51">
        <v>50000</v>
      </c>
      <c r="AA73" s="11" t="s">
        <v>94</v>
      </c>
      <c r="AB73" s="4"/>
      <c r="AC73" s="4"/>
      <c r="AD73" s="4"/>
      <c r="AE73" s="4"/>
    </row>
    <row r="74" spans="1:31" x14ac:dyDescent="0.3">
      <c r="A74" s="52" t="s">
        <v>16</v>
      </c>
      <c r="B74" s="27"/>
      <c r="C74" s="28" t="s">
        <v>30</v>
      </c>
      <c r="D74" s="35">
        <f t="shared" ref="D74:V74" si="62">+D72+D73</f>
        <v>187650</v>
      </c>
      <c r="E74" s="35">
        <f t="shared" si="62"/>
        <v>258000</v>
      </c>
      <c r="F74" s="35">
        <f t="shared" ref="F74" si="63">+F72+F73</f>
        <v>193582</v>
      </c>
      <c r="G74" s="35">
        <f t="shared" si="62"/>
        <v>258000</v>
      </c>
      <c r="H74" s="35">
        <f t="shared" ref="H74" si="64">+H72+H73</f>
        <v>258000</v>
      </c>
      <c r="I74" s="35">
        <f t="shared" ref="I74:J74" si="65">+I72+I73</f>
        <v>180174.09000000003</v>
      </c>
      <c r="J74" s="35">
        <f t="shared" si="65"/>
        <v>77825.909999999974</v>
      </c>
      <c r="K74" s="36"/>
      <c r="L74" s="36">
        <f t="shared" ref="L74" si="66">+L72+L73</f>
        <v>258000</v>
      </c>
      <c r="M74" s="36">
        <f t="shared" si="62"/>
        <v>258000</v>
      </c>
      <c r="N74" s="108">
        <f t="shared" si="59"/>
        <v>0</v>
      </c>
      <c r="O74" s="36">
        <f t="shared" ref="O74:P74" si="67">+O72+O73</f>
        <v>258000</v>
      </c>
      <c r="P74" s="36">
        <f t="shared" si="67"/>
        <v>0</v>
      </c>
      <c r="Q74" s="36">
        <f t="shared" ref="Q74" si="68">+Q72+Q73</f>
        <v>258000</v>
      </c>
      <c r="R74" s="172">
        <f t="shared" ref="R74" si="69">+R72+R73</f>
        <v>258000</v>
      </c>
      <c r="S74" s="36">
        <f t="shared" si="62"/>
        <v>258000</v>
      </c>
      <c r="T74" s="36"/>
      <c r="U74" s="22">
        <f t="shared" si="61"/>
        <v>0</v>
      </c>
      <c r="V74" s="36">
        <f t="shared" si="62"/>
        <v>258000</v>
      </c>
      <c r="W74" s="36">
        <f t="shared" ref="W74:Z74" si="70">+W72+W73</f>
        <v>258000</v>
      </c>
      <c r="X74" s="36"/>
      <c r="Y74" s="22">
        <f t="shared" si="57"/>
        <v>0</v>
      </c>
      <c r="Z74" s="36">
        <f t="shared" si="70"/>
        <v>258000</v>
      </c>
      <c r="AA74" s="12"/>
      <c r="AB74" s="4"/>
      <c r="AC74" s="4"/>
      <c r="AD74" s="4"/>
      <c r="AE74" s="4"/>
    </row>
    <row r="75" spans="1:31" x14ac:dyDescent="0.3">
      <c r="A75" s="26">
        <v>1999</v>
      </c>
      <c r="B75" s="27"/>
      <c r="C75" s="28" t="s">
        <v>33</v>
      </c>
      <c r="D75" s="35">
        <f t="shared" ref="D75:J75" si="71">+D74+D60+D35+D31</f>
        <v>5140405.5155071625</v>
      </c>
      <c r="E75" s="35">
        <f t="shared" si="71"/>
        <v>5247283.5155071625</v>
      </c>
      <c r="F75" s="35">
        <f t="shared" si="71"/>
        <v>4420525.2447800003</v>
      </c>
      <c r="G75" s="35">
        <f t="shared" si="71"/>
        <v>5173275.8362631639</v>
      </c>
      <c r="H75" s="35">
        <f t="shared" si="71"/>
        <v>5173275.8385260347</v>
      </c>
      <c r="I75" s="35">
        <f t="shared" si="71"/>
        <v>3551115.14</v>
      </c>
      <c r="J75" s="35">
        <f t="shared" si="71"/>
        <v>1622160.6985260341</v>
      </c>
      <c r="K75" s="36">
        <f>SUM(K15:K74)</f>
        <v>481984.28</v>
      </c>
      <c r="L75" s="36">
        <f>+L74+L60+L35+L31</f>
        <v>5348670.6513510589</v>
      </c>
      <c r="M75" s="36">
        <f>+M74+M60+M35+M31</f>
        <v>5830654.6513510589</v>
      </c>
      <c r="N75" s="36">
        <f>+L75-M75</f>
        <v>-481984</v>
      </c>
      <c r="O75" s="36">
        <f>+O74+O60+O35+O31</f>
        <v>5023670.6513510589</v>
      </c>
      <c r="P75" s="36">
        <f>+P74+P60+P35+P31</f>
        <v>326224</v>
      </c>
      <c r="Q75" s="36">
        <f>+Q74+Q60+Q35+Q31</f>
        <v>5380694.6513510589</v>
      </c>
      <c r="R75" s="172">
        <f>+R74+R60+R35+R31</f>
        <v>5077289.0687400158</v>
      </c>
      <c r="S75" s="36">
        <f>+S74+S60+S35+S31</f>
        <v>5548632.3813412692</v>
      </c>
      <c r="T75" s="36"/>
      <c r="U75" s="22">
        <f t="shared" si="61"/>
        <v>471343.31260125339</v>
      </c>
      <c r="V75" s="36">
        <f>+V74+V60+V35+V31</f>
        <v>5149373.5775153274</v>
      </c>
      <c r="W75" s="36">
        <f>+W74+W60+W35+W31</f>
        <v>5622080.4594946187</v>
      </c>
      <c r="X75" s="36"/>
      <c r="Y75" s="22">
        <f t="shared" si="57"/>
        <v>472706.88197929133</v>
      </c>
      <c r="Z75" s="36">
        <f>+Z74+Z60+Z35+Z31</f>
        <v>5743833.043279456</v>
      </c>
      <c r="AA75" s="12"/>
      <c r="AB75" s="4"/>
      <c r="AC75" s="4"/>
      <c r="AD75" s="4"/>
      <c r="AE75" s="4"/>
    </row>
    <row r="76" spans="1:31" x14ac:dyDescent="0.3">
      <c r="A76" s="11">
        <v>20</v>
      </c>
      <c r="B76" s="12" t="s">
        <v>34</v>
      </c>
      <c r="C76" s="12"/>
      <c r="D76" s="42"/>
      <c r="E76" s="42"/>
      <c r="F76" s="42"/>
      <c r="G76" s="42"/>
      <c r="H76" s="42"/>
      <c r="I76" s="42"/>
      <c r="J76" s="51"/>
      <c r="K76" s="51"/>
      <c r="L76" s="51"/>
      <c r="M76" s="51"/>
      <c r="N76" s="108"/>
      <c r="O76" s="51"/>
      <c r="P76" s="51"/>
      <c r="Q76" s="51"/>
      <c r="R76" s="171"/>
      <c r="S76" s="51"/>
      <c r="T76" s="51"/>
      <c r="U76" s="22">
        <f t="shared" si="61"/>
        <v>0</v>
      </c>
      <c r="V76" s="51"/>
      <c r="W76" s="51"/>
      <c r="X76" s="51"/>
      <c r="Y76" s="22">
        <f t="shared" si="57"/>
        <v>0</v>
      </c>
      <c r="Z76" s="51"/>
      <c r="AA76" s="12"/>
      <c r="AB76" s="4"/>
      <c r="AC76" s="4"/>
      <c r="AD76" s="4"/>
      <c r="AE76" s="4"/>
    </row>
    <row r="77" spans="1:31" x14ac:dyDescent="0.3">
      <c r="A77" s="11">
        <v>2100</v>
      </c>
      <c r="B77" s="12" t="s">
        <v>35</v>
      </c>
      <c r="C77" s="12"/>
      <c r="D77" s="42"/>
      <c r="E77" s="42"/>
      <c r="F77" s="42"/>
      <c r="G77" s="42"/>
      <c r="H77" s="42"/>
      <c r="I77" s="42"/>
      <c r="J77" s="51"/>
      <c r="K77" s="51"/>
      <c r="L77" s="51"/>
      <c r="M77" s="51"/>
      <c r="N77" s="108">
        <f t="shared" si="59"/>
        <v>0</v>
      </c>
      <c r="O77" s="51"/>
      <c r="P77" s="51"/>
      <c r="Q77" s="51"/>
      <c r="R77" s="171"/>
      <c r="S77" s="51"/>
      <c r="T77" s="51"/>
      <c r="U77" s="22">
        <f t="shared" si="61"/>
        <v>0</v>
      </c>
      <c r="V77" s="51"/>
      <c r="W77" s="51"/>
      <c r="X77" s="51"/>
      <c r="Y77" s="22">
        <f t="shared" si="57"/>
        <v>0</v>
      </c>
      <c r="Z77" s="51"/>
      <c r="AA77" s="12"/>
      <c r="AB77" s="4"/>
      <c r="AC77" s="4"/>
      <c r="AD77" s="4"/>
      <c r="AE77" s="4"/>
    </row>
    <row r="78" spans="1:31" x14ac:dyDescent="0.3">
      <c r="A78" s="11"/>
      <c r="B78" s="20" t="s">
        <v>0</v>
      </c>
      <c r="C78" s="12" t="s">
        <v>142</v>
      </c>
      <c r="D78" s="42">
        <v>500000</v>
      </c>
      <c r="E78" s="42">
        <v>500000</v>
      </c>
      <c r="F78" s="42">
        <v>500000</v>
      </c>
      <c r="G78" s="42">
        <v>500000</v>
      </c>
      <c r="H78" s="42">
        <v>500000</v>
      </c>
      <c r="I78" s="42">
        <v>500000</v>
      </c>
      <c r="J78" s="22">
        <f>+H78-I78</f>
        <v>0</v>
      </c>
      <c r="K78" s="22"/>
      <c r="L78" s="51">
        <v>500000</v>
      </c>
      <c r="M78" s="51">
        <v>500000</v>
      </c>
      <c r="N78" s="108">
        <f t="shared" si="59"/>
        <v>0</v>
      </c>
      <c r="O78" s="51">
        <v>500000</v>
      </c>
      <c r="P78" s="51"/>
      <c r="Q78" s="51">
        <v>500000</v>
      </c>
      <c r="R78" s="171">
        <v>500000</v>
      </c>
      <c r="S78" s="51">
        <v>500000</v>
      </c>
      <c r="T78" s="22">
        <f t="shared" ref="T78" si="72">+R78-S78</f>
        <v>0</v>
      </c>
      <c r="U78" s="22">
        <f t="shared" si="61"/>
        <v>0</v>
      </c>
      <c r="V78" s="51">
        <v>500000</v>
      </c>
      <c r="W78" s="51">
        <v>500000</v>
      </c>
      <c r="X78" s="51"/>
      <c r="Y78" s="22">
        <f t="shared" si="57"/>
        <v>0</v>
      </c>
      <c r="Z78" s="51">
        <v>500000</v>
      </c>
      <c r="AA78" s="23" t="s">
        <v>139</v>
      </c>
      <c r="AB78" s="4"/>
      <c r="AC78" s="4"/>
      <c r="AD78" s="4"/>
      <c r="AE78" s="4"/>
    </row>
    <row r="79" spans="1:31" x14ac:dyDescent="0.3">
      <c r="A79" s="11"/>
      <c r="B79" s="20" t="s">
        <v>1</v>
      </c>
      <c r="C79" s="12" t="s">
        <v>83</v>
      </c>
      <c r="D79" s="42"/>
      <c r="E79" s="42"/>
      <c r="F79" s="42"/>
      <c r="G79" s="42"/>
      <c r="H79" s="42"/>
      <c r="I79" s="42"/>
      <c r="J79" s="51"/>
      <c r="K79" s="51"/>
      <c r="L79" s="51"/>
      <c r="M79" s="51"/>
      <c r="N79" s="108">
        <f t="shared" si="59"/>
        <v>0</v>
      </c>
      <c r="O79" s="51"/>
      <c r="P79" s="51"/>
      <c r="Q79" s="51"/>
      <c r="R79" s="171"/>
      <c r="S79" s="51"/>
      <c r="T79" s="51"/>
      <c r="U79" s="22">
        <f t="shared" si="61"/>
        <v>0</v>
      </c>
      <c r="V79" s="51"/>
      <c r="W79" s="51"/>
      <c r="X79" s="51"/>
      <c r="Y79" s="22">
        <f t="shared" si="57"/>
        <v>0</v>
      </c>
      <c r="Z79" s="51"/>
      <c r="AA79" s="12"/>
      <c r="AB79" s="4"/>
      <c r="AC79" s="4"/>
      <c r="AD79" s="4"/>
      <c r="AE79" s="4"/>
    </row>
    <row r="80" spans="1:31" x14ac:dyDescent="0.3">
      <c r="A80" s="11">
        <v>2200</v>
      </c>
      <c r="B80" s="12" t="s">
        <v>36</v>
      </c>
      <c r="C80" s="12"/>
      <c r="D80" s="42"/>
      <c r="E80" s="42"/>
      <c r="F80" s="42"/>
      <c r="G80" s="42"/>
      <c r="H80" s="42"/>
      <c r="I80" s="42"/>
      <c r="J80" s="51"/>
      <c r="K80" s="51"/>
      <c r="L80" s="51"/>
      <c r="M80" s="51"/>
      <c r="N80" s="108">
        <f t="shared" si="59"/>
        <v>0</v>
      </c>
      <c r="O80" s="51"/>
      <c r="P80" s="51"/>
      <c r="Q80" s="51"/>
      <c r="R80" s="171"/>
      <c r="S80" s="51"/>
      <c r="T80" s="51"/>
      <c r="U80" s="22">
        <f t="shared" si="61"/>
        <v>0</v>
      </c>
      <c r="V80" s="51"/>
      <c r="W80" s="51"/>
      <c r="X80" s="51"/>
      <c r="Y80" s="22">
        <f t="shared" si="57"/>
        <v>0</v>
      </c>
      <c r="Z80" s="51"/>
      <c r="AA80" s="12"/>
      <c r="AB80" s="4"/>
      <c r="AC80" s="4"/>
      <c r="AD80" s="4"/>
      <c r="AE80" s="4"/>
    </row>
    <row r="81" spans="1:31" x14ac:dyDescent="0.3">
      <c r="A81" s="11"/>
      <c r="B81" s="20" t="s">
        <v>0</v>
      </c>
      <c r="C81" s="12" t="s">
        <v>82</v>
      </c>
      <c r="D81" s="42"/>
      <c r="E81" s="42"/>
      <c r="F81" s="42"/>
      <c r="G81" s="42"/>
      <c r="H81" s="42"/>
      <c r="I81" s="42"/>
      <c r="J81" s="51"/>
      <c r="K81" s="51"/>
      <c r="L81" s="51"/>
      <c r="M81" s="51"/>
      <c r="N81" s="108">
        <f t="shared" si="59"/>
        <v>0</v>
      </c>
      <c r="O81" s="51"/>
      <c r="P81" s="51"/>
      <c r="Q81" s="51"/>
      <c r="R81" s="171"/>
      <c r="S81" s="51"/>
      <c r="T81" s="51"/>
      <c r="U81" s="22">
        <f t="shared" si="61"/>
        <v>0</v>
      </c>
      <c r="V81" s="51"/>
      <c r="W81" s="51"/>
      <c r="X81" s="51"/>
      <c r="Y81" s="22">
        <f t="shared" si="57"/>
        <v>0</v>
      </c>
      <c r="Z81" s="51"/>
      <c r="AA81" s="12"/>
      <c r="AB81" s="4"/>
      <c r="AC81" s="4"/>
      <c r="AD81" s="4"/>
      <c r="AE81" s="4"/>
    </row>
    <row r="82" spans="1:31" x14ac:dyDescent="0.3">
      <c r="A82" s="11"/>
      <c r="B82" s="20" t="s">
        <v>1</v>
      </c>
      <c r="C82" s="12" t="s">
        <v>37</v>
      </c>
      <c r="D82" s="34"/>
      <c r="E82" s="34"/>
      <c r="F82" s="34">
        <v>0</v>
      </c>
      <c r="G82" s="34">
        <v>0</v>
      </c>
      <c r="H82" s="34">
        <v>0</v>
      </c>
      <c r="I82" s="34">
        <v>0</v>
      </c>
      <c r="J82" s="53"/>
      <c r="K82" s="53"/>
      <c r="L82" s="53">
        <v>0</v>
      </c>
      <c r="M82" s="53">
        <v>0</v>
      </c>
      <c r="N82" s="108">
        <f t="shared" si="59"/>
        <v>0</v>
      </c>
      <c r="O82" s="53">
        <v>0</v>
      </c>
      <c r="P82" s="53"/>
      <c r="Q82" s="53">
        <v>0</v>
      </c>
      <c r="R82" s="192">
        <v>0</v>
      </c>
      <c r="S82" s="53">
        <v>0</v>
      </c>
      <c r="T82" s="53"/>
      <c r="U82" s="22">
        <f t="shared" si="61"/>
        <v>0</v>
      </c>
      <c r="V82" s="53">
        <v>0</v>
      </c>
      <c r="W82" s="53">
        <v>0</v>
      </c>
      <c r="X82" s="53"/>
      <c r="Y82" s="22">
        <f t="shared" si="57"/>
        <v>0</v>
      </c>
      <c r="Z82" s="53">
        <v>0</v>
      </c>
      <c r="AA82" s="12"/>
      <c r="AB82" s="4"/>
      <c r="AC82" s="4"/>
      <c r="AD82" s="4"/>
      <c r="AE82" s="4"/>
    </row>
    <row r="83" spans="1:31" x14ac:dyDescent="0.3">
      <c r="A83" s="26">
        <v>2999</v>
      </c>
      <c r="B83" s="27"/>
      <c r="C83" s="28" t="s">
        <v>33</v>
      </c>
      <c r="D83" s="35">
        <f>D78+D82+D79</f>
        <v>500000</v>
      </c>
      <c r="E83" s="35">
        <f>E78+E82+E79</f>
        <v>500000</v>
      </c>
      <c r="F83" s="35">
        <f t="shared" ref="F83:Z83" si="73">F78+F82</f>
        <v>500000</v>
      </c>
      <c r="G83" s="35">
        <f t="shared" si="73"/>
        <v>500000</v>
      </c>
      <c r="H83" s="35">
        <f t="shared" ref="H83" si="74">H78+H82</f>
        <v>500000</v>
      </c>
      <c r="I83" s="35">
        <f t="shared" ref="I83:J83" si="75">I78+I82</f>
        <v>500000</v>
      </c>
      <c r="J83" s="35">
        <f t="shared" si="75"/>
        <v>0</v>
      </c>
      <c r="K83" s="36"/>
      <c r="L83" s="36">
        <f t="shared" ref="L83" si="76">L78+L82</f>
        <v>500000</v>
      </c>
      <c r="M83" s="36">
        <f t="shared" si="73"/>
        <v>500000</v>
      </c>
      <c r="N83" s="108">
        <f t="shared" si="59"/>
        <v>0</v>
      </c>
      <c r="O83" s="36">
        <f t="shared" ref="O83:Q83" si="77">O78+O82</f>
        <v>500000</v>
      </c>
      <c r="P83" s="36">
        <f t="shared" si="77"/>
        <v>0</v>
      </c>
      <c r="Q83" s="36">
        <f t="shared" si="77"/>
        <v>500000</v>
      </c>
      <c r="R83" s="172">
        <f t="shared" ref="R83" si="78">R78+R82</f>
        <v>500000</v>
      </c>
      <c r="S83" s="36">
        <f t="shared" si="73"/>
        <v>500000</v>
      </c>
      <c r="T83" s="36"/>
      <c r="U83" s="22">
        <f t="shared" si="61"/>
        <v>0</v>
      </c>
      <c r="V83" s="36">
        <f t="shared" ref="V83" si="79">V78+V82</f>
        <v>500000</v>
      </c>
      <c r="W83" s="36">
        <f t="shared" si="73"/>
        <v>500000</v>
      </c>
      <c r="X83" s="36"/>
      <c r="Y83" s="22">
        <f t="shared" si="57"/>
        <v>0</v>
      </c>
      <c r="Z83" s="36">
        <f t="shared" si="73"/>
        <v>500000</v>
      </c>
      <c r="AA83" s="12"/>
      <c r="AB83" s="4"/>
      <c r="AC83" s="4"/>
      <c r="AD83" s="4"/>
      <c r="AE83" s="4"/>
    </row>
    <row r="84" spans="1:31" x14ac:dyDescent="0.3">
      <c r="A84" s="11">
        <v>30</v>
      </c>
      <c r="B84" s="12" t="s">
        <v>38</v>
      </c>
      <c r="C84" s="12"/>
      <c r="D84" s="42"/>
      <c r="E84" s="42"/>
      <c r="F84" s="42"/>
      <c r="G84" s="42"/>
      <c r="H84" s="42"/>
      <c r="I84" s="42"/>
      <c r="J84" s="51"/>
      <c r="K84" s="51"/>
      <c r="L84" s="51"/>
      <c r="M84" s="51"/>
      <c r="N84" s="108">
        <f t="shared" si="59"/>
        <v>0</v>
      </c>
      <c r="O84" s="51"/>
      <c r="P84" s="51"/>
      <c r="Q84" s="51"/>
      <c r="R84" s="171"/>
      <c r="S84" s="51"/>
      <c r="T84" s="51"/>
      <c r="U84" s="22">
        <f t="shared" si="61"/>
        <v>0</v>
      </c>
      <c r="V84" s="51"/>
      <c r="W84" s="51"/>
      <c r="X84" s="51"/>
      <c r="Y84" s="22">
        <f t="shared" si="57"/>
        <v>0</v>
      </c>
      <c r="Z84" s="51"/>
      <c r="AA84" s="12"/>
      <c r="AB84" s="4"/>
      <c r="AC84" s="4"/>
      <c r="AD84" s="4"/>
      <c r="AE84" s="4"/>
    </row>
    <row r="85" spans="1:31" x14ac:dyDescent="0.3">
      <c r="A85" s="11">
        <v>3300</v>
      </c>
      <c r="B85" s="12" t="s">
        <v>164</v>
      </c>
      <c r="C85" s="12"/>
      <c r="D85" s="42"/>
      <c r="E85" s="42"/>
      <c r="F85" s="42"/>
      <c r="G85" s="42"/>
      <c r="H85" s="42"/>
      <c r="I85" s="42"/>
      <c r="J85" s="51"/>
      <c r="K85" s="51"/>
      <c r="L85" s="51"/>
      <c r="M85" s="51"/>
      <c r="N85" s="108">
        <f t="shared" si="59"/>
        <v>0</v>
      </c>
      <c r="O85" s="51"/>
      <c r="P85" s="51"/>
      <c r="Q85" s="51"/>
      <c r="R85" s="171"/>
      <c r="S85" s="51"/>
      <c r="T85" s="51"/>
      <c r="U85" s="22">
        <f t="shared" si="61"/>
        <v>0</v>
      </c>
      <c r="V85" s="51"/>
      <c r="W85" s="51"/>
      <c r="X85" s="51"/>
      <c r="Y85" s="22">
        <f t="shared" si="57"/>
        <v>0</v>
      </c>
      <c r="Z85" s="51"/>
      <c r="AA85" s="12"/>
      <c r="AB85" s="4"/>
      <c r="AC85" s="4"/>
      <c r="AD85" s="4"/>
      <c r="AE85" s="4"/>
    </row>
    <row r="86" spans="1:31" x14ac:dyDescent="0.3">
      <c r="A86" s="11"/>
      <c r="B86" s="20" t="s">
        <v>0</v>
      </c>
      <c r="C86" s="12" t="s">
        <v>39</v>
      </c>
      <c r="D86" s="42">
        <f>15000-15000</f>
        <v>0</v>
      </c>
      <c r="E86" s="42">
        <v>15000</v>
      </c>
      <c r="F86" s="42"/>
      <c r="G86" s="42">
        <v>15000</v>
      </c>
      <c r="H86" s="42">
        <v>15000</v>
      </c>
      <c r="I86" s="42">
        <v>0</v>
      </c>
      <c r="J86" s="22">
        <f t="shared" ref="J86:J87" si="80">+H86-I86</f>
        <v>15000</v>
      </c>
      <c r="K86" s="22"/>
      <c r="L86" s="51">
        <v>15000</v>
      </c>
      <c r="M86" s="51">
        <v>15000</v>
      </c>
      <c r="N86" s="108">
        <f t="shared" si="59"/>
        <v>0</v>
      </c>
      <c r="O86" s="51">
        <v>15000</v>
      </c>
      <c r="P86" s="51"/>
      <c r="Q86" s="51">
        <v>15000</v>
      </c>
      <c r="R86" s="171">
        <v>15000</v>
      </c>
      <c r="S86" s="51">
        <v>15000</v>
      </c>
      <c r="T86" s="22">
        <f t="shared" ref="T86:T87" si="81">+R86-S86</f>
        <v>0</v>
      </c>
      <c r="U86" s="22">
        <f t="shared" si="61"/>
        <v>0</v>
      </c>
      <c r="V86" s="51">
        <v>15000</v>
      </c>
      <c r="W86" s="51">
        <v>15000</v>
      </c>
      <c r="X86" s="51"/>
      <c r="Y86" s="22">
        <f t="shared" si="57"/>
        <v>0</v>
      </c>
      <c r="Z86" s="51">
        <v>15000</v>
      </c>
      <c r="AA86" s="12" t="s">
        <v>163</v>
      </c>
      <c r="AB86" s="4"/>
      <c r="AC86" s="4"/>
      <c r="AD86" s="4"/>
      <c r="AE86" s="4"/>
    </row>
    <row r="87" spans="1:31" ht="22.5" x14ac:dyDescent="0.3">
      <c r="A87" s="11"/>
      <c r="B87" s="20" t="s">
        <v>1</v>
      </c>
      <c r="C87" s="12" t="s">
        <v>141</v>
      </c>
      <c r="D87" s="42">
        <f>225000/3*2+1614+15000</f>
        <v>166614</v>
      </c>
      <c r="E87" s="42">
        <f>225000/3*2</f>
        <v>150000</v>
      </c>
      <c r="F87" s="42">
        <v>153084</v>
      </c>
      <c r="G87" s="42">
        <v>150000</v>
      </c>
      <c r="H87" s="42">
        <v>150000</v>
      </c>
      <c r="I87" s="42">
        <v>72190.51999999999</v>
      </c>
      <c r="J87" s="22">
        <f t="shared" si="80"/>
        <v>77809.48000000001</v>
      </c>
      <c r="K87" s="22">
        <v>77809</v>
      </c>
      <c r="L87" s="51">
        <v>150000</v>
      </c>
      <c r="M87" s="103">
        <f>150000+77809</f>
        <v>227809</v>
      </c>
      <c r="N87" s="108">
        <f t="shared" si="59"/>
        <v>-77809</v>
      </c>
      <c r="O87" s="51">
        <v>150000</v>
      </c>
      <c r="P87" s="51">
        <v>77809</v>
      </c>
      <c r="Q87" s="51">
        <f>+O87+P87</f>
        <v>227809</v>
      </c>
      <c r="R87" s="171">
        <v>150000</v>
      </c>
      <c r="S87" s="51">
        <f>150000+75000</f>
        <v>225000</v>
      </c>
      <c r="T87" s="22">
        <f t="shared" si="81"/>
        <v>-75000</v>
      </c>
      <c r="U87" s="80">
        <f t="shared" si="61"/>
        <v>75000</v>
      </c>
      <c r="V87" s="171">
        <v>150000</v>
      </c>
      <c r="W87" s="171">
        <f>150000+75000</f>
        <v>225000</v>
      </c>
      <c r="X87" s="51"/>
      <c r="Y87" s="22">
        <f t="shared" si="57"/>
        <v>75000</v>
      </c>
      <c r="Z87" s="51">
        <f>150000+75000</f>
        <v>225000</v>
      </c>
      <c r="AA87" s="12" t="s">
        <v>159</v>
      </c>
      <c r="AB87" s="4"/>
      <c r="AC87" s="4"/>
      <c r="AD87" s="4"/>
      <c r="AE87" s="4"/>
    </row>
    <row r="88" spans="1:31" x14ac:dyDescent="0.3">
      <c r="A88" s="26">
        <v>3999</v>
      </c>
      <c r="B88" s="27"/>
      <c r="C88" s="28" t="s">
        <v>33</v>
      </c>
      <c r="D88" s="35">
        <f t="shared" ref="D88:S88" si="82">SUM(D86:D87)</f>
        <v>166614</v>
      </c>
      <c r="E88" s="35">
        <f t="shared" si="82"/>
        <v>165000</v>
      </c>
      <c r="F88" s="35">
        <f t="shared" ref="F88" si="83">SUM(F86:F87)</f>
        <v>153084</v>
      </c>
      <c r="G88" s="35">
        <f t="shared" si="82"/>
        <v>165000</v>
      </c>
      <c r="H88" s="35">
        <f t="shared" ref="H88" si="84">SUM(H86:H87)</f>
        <v>165000</v>
      </c>
      <c r="I88" s="35">
        <f t="shared" ref="I88:J88" si="85">SUM(I86:I87)</f>
        <v>72190.51999999999</v>
      </c>
      <c r="J88" s="35">
        <f t="shared" si="85"/>
        <v>92809.48000000001</v>
      </c>
      <c r="K88" s="36"/>
      <c r="L88" s="36">
        <f t="shared" ref="L88" si="86">SUM(L86:L87)</f>
        <v>165000</v>
      </c>
      <c r="M88" s="36">
        <f t="shared" si="82"/>
        <v>242809</v>
      </c>
      <c r="N88" s="108"/>
      <c r="O88" s="36">
        <f t="shared" ref="O88:Q88" si="87">SUM(O86:O87)</f>
        <v>165000</v>
      </c>
      <c r="P88" s="36">
        <f t="shared" si="87"/>
        <v>77809</v>
      </c>
      <c r="Q88" s="36">
        <f t="shared" si="87"/>
        <v>242809</v>
      </c>
      <c r="R88" s="172">
        <f t="shared" ref="R88" si="88">SUM(R86:R87)</f>
        <v>165000</v>
      </c>
      <c r="S88" s="36">
        <f t="shared" si="82"/>
        <v>240000</v>
      </c>
      <c r="T88" s="36"/>
      <c r="U88" s="80">
        <f t="shared" si="61"/>
        <v>75000</v>
      </c>
      <c r="V88" s="172">
        <f t="shared" ref="V88" si="89">SUM(V86:V87)</f>
        <v>165000</v>
      </c>
      <c r="W88" s="172">
        <f t="shared" ref="W88:Z88" si="90">SUM(W86:W87)</f>
        <v>240000</v>
      </c>
      <c r="X88" s="36"/>
      <c r="Y88" s="22">
        <f t="shared" si="57"/>
        <v>75000</v>
      </c>
      <c r="Z88" s="36">
        <f t="shared" si="90"/>
        <v>240000</v>
      </c>
      <c r="AA88" s="12"/>
      <c r="AB88" s="4"/>
      <c r="AC88" s="4"/>
      <c r="AD88" s="4"/>
      <c r="AE88" s="4"/>
    </row>
    <row r="89" spans="1:31" x14ac:dyDescent="0.3">
      <c r="A89" s="11">
        <v>40</v>
      </c>
      <c r="B89" s="12" t="s">
        <v>40</v>
      </c>
      <c r="C89" s="12"/>
      <c r="D89" s="42"/>
      <c r="E89" s="42"/>
      <c r="F89" s="42"/>
      <c r="G89" s="42"/>
      <c r="H89" s="42"/>
      <c r="I89" s="42"/>
      <c r="J89" s="51"/>
      <c r="K89" s="51"/>
      <c r="L89" s="51"/>
      <c r="M89" s="51"/>
      <c r="N89" s="108">
        <f t="shared" si="59"/>
        <v>0</v>
      </c>
      <c r="O89" s="51"/>
      <c r="P89" s="51"/>
      <c r="Q89" s="51"/>
      <c r="R89" s="171"/>
      <c r="S89" s="51"/>
      <c r="T89" s="51"/>
      <c r="U89" s="80">
        <f t="shared" si="61"/>
        <v>0</v>
      </c>
      <c r="V89" s="171"/>
      <c r="W89" s="171"/>
      <c r="X89" s="51"/>
      <c r="Y89" s="22">
        <f t="shared" si="57"/>
        <v>0</v>
      </c>
      <c r="Z89" s="51"/>
      <c r="AA89" s="12"/>
      <c r="AB89" s="4"/>
      <c r="AC89" s="4"/>
      <c r="AD89" s="4"/>
      <c r="AE89" s="4"/>
    </row>
    <row r="90" spans="1:31" x14ac:dyDescent="0.3">
      <c r="A90" s="11">
        <v>4100</v>
      </c>
      <c r="B90" s="12" t="s">
        <v>41</v>
      </c>
      <c r="C90" s="12"/>
      <c r="D90" s="42"/>
      <c r="E90" s="42"/>
      <c r="F90" s="42"/>
      <c r="G90" s="42"/>
      <c r="H90" s="42"/>
      <c r="I90" s="42"/>
      <c r="J90" s="51"/>
      <c r="K90" s="51"/>
      <c r="L90" s="51"/>
      <c r="M90" s="51"/>
      <c r="N90" s="108">
        <f t="shared" si="59"/>
        <v>0</v>
      </c>
      <c r="O90" s="51"/>
      <c r="P90" s="51"/>
      <c r="Q90" s="51"/>
      <c r="R90" s="171"/>
      <c r="S90" s="51"/>
      <c r="T90" s="51"/>
      <c r="U90" s="80">
        <f t="shared" si="61"/>
        <v>0</v>
      </c>
      <c r="V90" s="171"/>
      <c r="W90" s="171"/>
      <c r="X90" s="51"/>
      <c r="Y90" s="22">
        <f t="shared" si="57"/>
        <v>0</v>
      </c>
      <c r="Z90" s="51"/>
      <c r="AA90" s="12"/>
      <c r="AB90" s="4"/>
      <c r="AC90" s="4"/>
      <c r="AD90" s="4"/>
      <c r="AE90" s="4"/>
    </row>
    <row r="91" spans="1:31" x14ac:dyDescent="0.3">
      <c r="A91" s="11"/>
      <c r="B91" s="20" t="s">
        <v>0</v>
      </c>
      <c r="C91" s="12" t="s">
        <v>81</v>
      </c>
      <c r="D91" s="42">
        <f>17550*0.7</f>
        <v>12285</v>
      </c>
      <c r="E91" s="42">
        <f>17550*0.7</f>
        <v>12285</v>
      </c>
      <c r="F91" s="42">
        <v>5040</v>
      </c>
      <c r="G91" s="42">
        <f>D91</f>
        <v>12285</v>
      </c>
      <c r="H91" s="42">
        <f>E91</f>
        <v>12285</v>
      </c>
      <c r="I91" s="42">
        <v>2459.71</v>
      </c>
      <c r="J91" s="22">
        <f t="shared" ref="J91:J92" si="91">+H91-I91</f>
        <v>9825.2900000000009</v>
      </c>
      <c r="K91" s="22"/>
      <c r="L91" s="51">
        <v>12285</v>
      </c>
      <c r="M91" s="51">
        <f>+G91</f>
        <v>12285</v>
      </c>
      <c r="N91" s="108">
        <f t="shared" si="59"/>
        <v>0</v>
      </c>
      <c r="O91" s="51">
        <v>12285</v>
      </c>
      <c r="P91" s="51"/>
      <c r="Q91" s="51">
        <v>12285</v>
      </c>
      <c r="R91" s="171">
        <v>12285</v>
      </c>
      <c r="S91" s="51">
        <f>+M91</f>
        <v>12285</v>
      </c>
      <c r="T91" s="22">
        <f t="shared" ref="T91:T92" si="92">+R91-S91</f>
        <v>0</v>
      </c>
      <c r="U91" s="22">
        <f t="shared" si="61"/>
        <v>0</v>
      </c>
      <c r="V91" s="51">
        <f>+R91</f>
        <v>12285</v>
      </c>
      <c r="W91" s="51">
        <f>+S91</f>
        <v>12285</v>
      </c>
      <c r="X91" s="51"/>
      <c r="Y91" s="22">
        <f t="shared" si="57"/>
        <v>0</v>
      </c>
      <c r="Z91" s="51">
        <f>+W91</f>
        <v>12285</v>
      </c>
      <c r="AA91" s="12" t="s">
        <v>76</v>
      </c>
      <c r="AB91" s="4"/>
      <c r="AC91" s="54"/>
      <c r="AD91" s="4"/>
      <c r="AE91" s="4"/>
    </row>
    <row r="92" spans="1:31" ht="37.5" x14ac:dyDescent="0.3">
      <c r="A92" s="11"/>
      <c r="B92" s="20" t="s">
        <v>1</v>
      </c>
      <c r="C92" s="23" t="s">
        <v>87</v>
      </c>
      <c r="D92" s="42">
        <f>10530</f>
        <v>10530</v>
      </c>
      <c r="E92" s="55">
        <f>10530</f>
        <v>10530</v>
      </c>
      <c r="F92" s="42">
        <v>2936</v>
      </c>
      <c r="G92" s="42">
        <f>+D92</f>
        <v>10530</v>
      </c>
      <c r="H92" s="42">
        <f>+E92</f>
        <v>10530</v>
      </c>
      <c r="I92" s="42">
        <v>4505.54</v>
      </c>
      <c r="J92" s="22">
        <f t="shared" si="91"/>
        <v>6024.46</v>
      </c>
      <c r="K92" s="22"/>
      <c r="L92" s="51">
        <v>10530</v>
      </c>
      <c r="M92" s="51">
        <f>+G92</f>
        <v>10530</v>
      </c>
      <c r="N92" s="108">
        <f t="shared" si="59"/>
        <v>0</v>
      </c>
      <c r="O92" s="51">
        <v>10530</v>
      </c>
      <c r="P92" s="51"/>
      <c r="Q92" s="51">
        <v>10530</v>
      </c>
      <c r="R92" s="171">
        <v>10530</v>
      </c>
      <c r="S92" s="51">
        <f>+M92</f>
        <v>10530</v>
      </c>
      <c r="T92" s="22">
        <f t="shared" si="92"/>
        <v>0</v>
      </c>
      <c r="U92" s="22">
        <f t="shared" si="61"/>
        <v>0</v>
      </c>
      <c r="V92" s="51">
        <f>+R92</f>
        <v>10530</v>
      </c>
      <c r="W92" s="51">
        <f>+S92</f>
        <v>10530</v>
      </c>
      <c r="X92" s="51"/>
      <c r="Y92" s="22">
        <f t="shared" si="57"/>
        <v>0</v>
      </c>
      <c r="Z92" s="51">
        <f>+W92</f>
        <v>10530</v>
      </c>
      <c r="AA92" s="18" t="s">
        <v>76</v>
      </c>
      <c r="AB92" s="4"/>
      <c r="AC92" s="4"/>
      <c r="AD92" s="4"/>
      <c r="AE92" s="4"/>
    </row>
    <row r="93" spans="1:31" s="57" customFormat="1" x14ac:dyDescent="0.3">
      <c r="A93" s="26">
        <v>4199</v>
      </c>
      <c r="B93" s="28"/>
      <c r="C93" s="27" t="s">
        <v>30</v>
      </c>
      <c r="D93" s="35">
        <f t="shared" ref="D93:V93" si="93">SUM(D91:D92)</f>
        <v>22815</v>
      </c>
      <c r="E93" s="35">
        <f t="shared" si="93"/>
        <v>22815</v>
      </c>
      <c r="F93" s="35">
        <f t="shared" ref="F93" si="94">SUM(F91:F92)</f>
        <v>7976</v>
      </c>
      <c r="G93" s="35">
        <f t="shared" si="93"/>
        <v>22815</v>
      </c>
      <c r="H93" s="35">
        <f t="shared" ref="H93" si="95">SUM(H91:H92)</f>
        <v>22815</v>
      </c>
      <c r="I93" s="35">
        <f t="shared" ref="I93:J93" si="96">SUM(I91:I92)</f>
        <v>6965.25</v>
      </c>
      <c r="J93" s="35">
        <f t="shared" si="96"/>
        <v>15849.75</v>
      </c>
      <c r="K93" s="36"/>
      <c r="L93" s="36">
        <f t="shared" ref="L93" si="97">SUM(L91:L92)</f>
        <v>22815</v>
      </c>
      <c r="M93" s="36">
        <f t="shared" si="93"/>
        <v>22815</v>
      </c>
      <c r="N93" s="108">
        <f>+L93-M93</f>
        <v>0</v>
      </c>
      <c r="O93" s="36">
        <f t="shared" ref="O93:Q93" si="98">SUM(O91:O92)</f>
        <v>22815</v>
      </c>
      <c r="P93" s="36">
        <f t="shared" si="98"/>
        <v>0</v>
      </c>
      <c r="Q93" s="36">
        <f t="shared" si="98"/>
        <v>22815</v>
      </c>
      <c r="R93" s="172">
        <f t="shared" ref="R93" si="99">SUM(R91:R92)</f>
        <v>22815</v>
      </c>
      <c r="S93" s="36">
        <f t="shared" si="93"/>
        <v>22815</v>
      </c>
      <c r="T93" s="36"/>
      <c r="U93" s="22">
        <f t="shared" si="61"/>
        <v>0</v>
      </c>
      <c r="V93" s="36">
        <f t="shared" si="93"/>
        <v>22815</v>
      </c>
      <c r="W93" s="36">
        <f t="shared" ref="W93:Z93" si="100">SUM(W91:W92)</f>
        <v>22815</v>
      </c>
      <c r="X93" s="36"/>
      <c r="Y93" s="22">
        <f t="shared" si="57"/>
        <v>0</v>
      </c>
      <c r="Z93" s="36">
        <f t="shared" si="100"/>
        <v>22815</v>
      </c>
      <c r="AA93" s="28"/>
      <c r="AB93" s="56"/>
      <c r="AC93" s="56"/>
      <c r="AD93" s="56"/>
      <c r="AE93" s="56"/>
    </row>
    <row r="94" spans="1:31" x14ac:dyDescent="0.3">
      <c r="A94" s="11">
        <v>4200</v>
      </c>
      <c r="B94" s="12" t="s">
        <v>42</v>
      </c>
      <c r="C94" s="12"/>
      <c r="D94" s="42"/>
      <c r="E94" s="42"/>
      <c r="F94" s="42"/>
      <c r="G94" s="42"/>
      <c r="H94" s="42"/>
      <c r="I94" s="42"/>
      <c r="J94" s="51"/>
      <c r="K94" s="51"/>
      <c r="L94" s="51"/>
      <c r="M94" s="51"/>
      <c r="N94" s="108">
        <f t="shared" si="59"/>
        <v>0</v>
      </c>
      <c r="O94" s="51"/>
      <c r="P94" s="51"/>
      <c r="Q94" s="51"/>
      <c r="R94" s="171"/>
      <c r="S94" s="51"/>
      <c r="T94" s="51"/>
      <c r="U94" s="22">
        <f t="shared" si="61"/>
        <v>0</v>
      </c>
      <c r="V94" s="51"/>
      <c r="W94" s="51"/>
      <c r="X94" s="51"/>
      <c r="Y94" s="22">
        <f t="shared" si="57"/>
        <v>0</v>
      </c>
      <c r="Z94" s="51"/>
      <c r="AA94" s="12"/>
      <c r="AB94" s="4"/>
      <c r="AC94" s="4"/>
      <c r="AD94" s="4"/>
      <c r="AE94" s="4"/>
    </row>
    <row r="95" spans="1:31" x14ac:dyDescent="0.3">
      <c r="A95" s="11"/>
      <c r="B95" s="20" t="s">
        <v>0</v>
      </c>
      <c r="C95" s="12" t="s">
        <v>88</v>
      </c>
      <c r="D95" s="42">
        <f>13000</f>
        <v>13000</v>
      </c>
      <c r="E95" s="55">
        <f>13000</f>
        <v>13000</v>
      </c>
      <c r="F95" s="42">
        <v>19779</v>
      </c>
      <c r="G95" s="42">
        <v>13000</v>
      </c>
      <c r="H95" s="42">
        <v>13000</v>
      </c>
      <c r="I95" s="42">
        <v>0</v>
      </c>
      <c r="J95" s="22">
        <f t="shared" ref="J95:J96" si="101">+H95-I95</f>
        <v>13000</v>
      </c>
      <c r="K95" s="22"/>
      <c r="L95" s="51">
        <v>13000</v>
      </c>
      <c r="M95" s="51">
        <v>13000</v>
      </c>
      <c r="N95" s="108">
        <f t="shared" si="59"/>
        <v>0</v>
      </c>
      <c r="O95" s="51">
        <v>13000</v>
      </c>
      <c r="P95" s="51"/>
      <c r="Q95" s="51">
        <v>13000</v>
      </c>
      <c r="R95" s="171">
        <v>13000</v>
      </c>
      <c r="S95" s="51">
        <v>13000</v>
      </c>
      <c r="T95" s="22">
        <f t="shared" ref="T95:T96" si="102">+R95-S95</f>
        <v>0</v>
      </c>
      <c r="U95" s="22">
        <f t="shared" si="61"/>
        <v>0</v>
      </c>
      <c r="V95" s="51">
        <v>13000</v>
      </c>
      <c r="W95" s="51">
        <v>13000</v>
      </c>
      <c r="X95" s="51"/>
      <c r="Y95" s="22">
        <f t="shared" si="57"/>
        <v>0</v>
      </c>
      <c r="Z95" s="51">
        <v>13000</v>
      </c>
      <c r="AA95" s="18" t="s">
        <v>76</v>
      </c>
      <c r="AB95" s="4"/>
      <c r="AC95" s="4"/>
      <c r="AD95" s="4"/>
      <c r="AE95" s="4"/>
    </row>
    <row r="96" spans="1:31" x14ac:dyDescent="0.3">
      <c r="A96" s="11"/>
      <c r="B96" s="20" t="s">
        <v>1</v>
      </c>
      <c r="C96" s="12" t="s">
        <v>70</v>
      </c>
      <c r="D96" s="42">
        <v>5850</v>
      </c>
      <c r="E96" s="42">
        <v>5850</v>
      </c>
      <c r="F96" s="42">
        <v>0</v>
      </c>
      <c r="G96" s="42">
        <v>5850</v>
      </c>
      <c r="H96" s="42">
        <v>5850</v>
      </c>
      <c r="I96" s="42">
        <v>973.5</v>
      </c>
      <c r="J96" s="22">
        <f t="shared" si="101"/>
        <v>4876.5</v>
      </c>
      <c r="K96" s="22"/>
      <c r="L96" s="51">
        <v>5850</v>
      </c>
      <c r="M96" s="51">
        <v>5850</v>
      </c>
      <c r="N96" s="108">
        <f t="shared" si="59"/>
        <v>0</v>
      </c>
      <c r="O96" s="51">
        <v>5850</v>
      </c>
      <c r="P96" s="51"/>
      <c r="Q96" s="51">
        <v>5850</v>
      </c>
      <c r="R96" s="171">
        <v>5850</v>
      </c>
      <c r="S96" s="51">
        <v>5850</v>
      </c>
      <c r="T96" s="22">
        <f t="shared" si="102"/>
        <v>0</v>
      </c>
      <c r="U96" s="22">
        <f t="shared" si="61"/>
        <v>0</v>
      </c>
      <c r="V96" s="51">
        <v>5850</v>
      </c>
      <c r="W96" s="51">
        <v>5850</v>
      </c>
      <c r="X96" s="51"/>
      <c r="Y96" s="22">
        <f t="shared" si="57"/>
        <v>0</v>
      </c>
      <c r="Z96" s="51">
        <v>5850</v>
      </c>
      <c r="AA96" s="12" t="s">
        <v>76</v>
      </c>
      <c r="AB96" s="4"/>
      <c r="AC96" s="4"/>
      <c r="AD96" s="4"/>
      <c r="AE96" s="4"/>
    </row>
    <row r="97" spans="1:31" s="57" customFormat="1" x14ac:dyDescent="0.3">
      <c r="A97" s="26">
        <v>4299</v>
      </c>
      <c r="B97" s="28"/>
      <c r="C97" s="27" t="s">
        <v>30</v>
      </c>
      <c r="D97" s="35">
        <f t="shared" ref="D97:V97" si="103">SUM(D95:D96)</f>
        <v>18850</v>
      </c>
      <c r="E97" s="35">
        <f t="shared" si="103"/>
        <v>18850</v>
      </c>
      <c r="F97" s="35">
        <f t="shared" ref="F97" si="104">SUM(F95:F96)</f>
        <v>19779</v>
      </c>
      <c r="G97" s="35">
        <f t="shared" si="103"/>
        <v>18850</v>
      </c>
      <c r="H97" s="35">
        <f t="shared" ref="H97" si="105">SUM(H95:H96)</f>
        <v>18850</v>
      </c>
      <c r="I97" s="35">
        <f t="shared" ref="I97:J97" si="106">SUM(I95:I96)</f>
        <v>973.5</v>
      </c>
      <c r="J97" s="35">
        <f t="shared" si="106"/>
        <v>17876.5</v>
      </c>
      <c r="K97" s="36"/>
      <c r="L97" s="36">
        <f t="shared" ref="L97" si="107">SUM(L95:L96)</f>
        <v>18850</v>
      </c>
      <c r="M97" s="36">
        <f t="shared" si="103"/>
        <v>18850</v>
      </c>
      <c r="N97" s="108">
        <f t="shared" si="59"/>
        <v>0</v>
      </c>
      <c r="O97" s="36">
        <f t="shared" ref="O97:Q97" si="108">SUM(O95:O96)</f>
        <v>18850</v>
      </c>
      <c r="P97" s="36">
        <f t="shared" si="108"/>
        <v>0</v>
      </c>
      <c r="Q97" s="36">
        <f t="shared" si="108"/>
        <v>18850</v>
      </c>
      <c r="R97" s="172">
        <f t="shared" ref="R97" si="109">SUM(R95:R96)</f>
        <v>18850</v>
      </c>
      <c r="S97" s="36">
        <f t="shared" si="103"/>
        <v>18850</v>
      </c>
      <c r="T97" s="36"/>
      <c r="U97" s="22">
        <f t="shared" si="61"/>
        <v>0</v>
      </c>
      <c r="V97" s="36">
        <f t="shared" si="103"/>
        <v>18850</v>
      </c>
      <c r="W97" s="36">
        <f t="shared" ref="W97:Z97" si="110">SUM(W95:W96)</f>
        <v>18850</v>
      </c>
      <c r="X97" s="36"/>
      <c r="Y97" s="22">
        <f t="shared" si="57"/>
        <v>0</v>
      </c>
      <c r="Z97" s="36">
        <f t="shared" si="110"/>
        <v>18850</v>
      </c>
      <c r="AA97" s="28"/>
      <c r="AB97" s="56"/>
      <c r="AC97" s="56"/>
      <c r="AD97" s="56"/>
      <c r="AE97" s="56"/>
    </row>
    <row r="98" spans="1:31" x14ac:dyDescent="0.3">
      <c r="A98" s="11">
        <v>4300</v>
      </c>
      <c r="B98" s="20" t="s">
        <v>43</v>
      </c>
      <c r="C98" s="12"/>
      <c r="D98" s="42"/>
      <c r="E98" s="42"/>
      <c r="F98" s="42"/>
      <c r="G98" s="42"/>
      <c r="H98" s="42"/>
      <c r="I98" s="42"/>
      <c r="J98" s="51"/>
      <c r="K98" s="51"/>
      <c r="L98" s="51"/>
      <c r="M98" s="51"/>
      <c r="N98" s="108">
        <f t="shared" si="59"/>
        <v>0</v>
      </c>
      <c r="O98" s="51"/>
      <c r="P98" s="51"/>
      <c r="Q98" s="51"/>
      <c r="R98" s="171"/>
      <c r="S98" s="51"/>
      <c r="T98" s="51"/>
      <c r="U98" s="22">
        <f t="shared" si="61"/>
        <v>0</v>
      </c>
      <c r="V98" s="51"/>
      <c r="W98" s="51"/>
      <c r="X98" s="51"/>
      <c r="Y98" s="22">
        <f t="shared" si="57"/>
        <v>0</v>
      </c>
      <c r="Z98" s="51"/>
      <c r="AA98" s="12"/>
      <c r="AB98" s="4"/>
      <c r="AC98" s="4"/>
      <c r="AD98" s="4"/>
      <c r="AE98" s="4"/>
    </row>
    <row r="99" spans="1:31" ht="37.5" x14ac:dyDescent="0.3">
      <c r="A99" s="11"/>
      <c r="B99" s="20" t="s">
        <v>0</v>
      </c>
      <c r="C99" s="12" t="s">
        <v>148</v>
      </c>
      <c r="D99" s="42">
        <v>870282</v>
      </c>
      <c r="E99" s="42">
        <v>870282</v>
      </c>
      <c r="F99" s="42">
        <v>745942</v>
      </c>
      <c r="G99" s="42">
        <v>870282</v>
      </c>
      <c r="H99" s="42">
        <v>870282</v>
      </c>
      <c r="I99" s="42">
        <v>830871.88</v>
      </c>
      <c r="J99" s="22">
        <f>+H99-I99</f>
        <v>39410.119999999995</v>
      </c>
      <c r="K99" s="22"/>
      <c r="L99" s="51">
        <v>870282</v>
      </c>
      <c r="M99" s="51">
        <v>870282</v>
      </c>
      <c r="N99" s="108">
        <f t="shared" si="59"/>
        <v>0</v>
      </c>
      <c r="O99" s="51">
        <v>870282</v>
      </c>
      <c r="P99" s="51"/>
      <c r="Q99" s="51">
        <v>870282</v>
      </c>
      <c r="R99" s="171">
        <v>870282</v>
      </c>
      <c r="S99" s="51">
        <v>870282</v>
      </c>
      <c r="T99" s="22">
        <f t="shared" ref="T99" si="111">+R99-S99</f>
        <v>0</v>
      </c>
      <c r="U99" s="22">
        <f t="shared" si="61"/>
        <v>0</v>
      </c>
      <c r="V99" s="51">
        <v>870282</v>
      </c>
      <c r="W99" s="51">
        <v>870282</v>
      </c>
      <c r="X99" s="51"/>
      <c r="Y99" s="22">
        <f t="shared" si="57"/>
        <v>0</v>
      </c>
      <c r="Z99" s="51">
        <v>870282</v>
      </c>
      <c r="AA99" s="165" t="s">
        <v>162</v>
      </c>
      <c r="AB99" s="4"/>
      <c r="AC99" s="4"/>
      <c r="AD99" s="4"/>
      <c r="AE99" s="4"/>
    </row>
    <row r="100" spans="1:31" x14ac:dyDescent="0.3">
      <c r="A100" s="11"/>
      <c r="B100" s="20"/>
      <c r="C100" s="27" t="s">
        <v>30</v>
      </c>
      <c r="D100" s="43">
        <f t="shared" ref="D100:V100" si="112">D99</f>
        <v>870282</v>
      </c>
      <c r="E100" s="43">
        <f t="shared" si="112"/>
        <v>870282</v>
      </c>
      <c r="F100" s="43">
        <f t="shared" ref="F100" si="113">F99</f>
        <v>745942</v>
      </c>
      <c r="G100" s="43">
        <f t="shared" si="112"/>
        <v>870282</v>
      </c>
      <c r="H100" s="43">
        <f t="shared" ref="H100" si="114">H99</f>
        <v>870282</v>
      </c>
      <c r="I100" s="43">
        <f t="shared" ref="I100" si="115">I99</f>
        <v>830871.88</v>
      </c>
      <c r="J100" s="43">
        <f t="shared" ref="J100" si="116">J99</f>
        <v>39410.119999999995</v>
      </c>
      <c r="K100" s="44"/>
      <c r="L100" s="44">
        <f t="shared" ref="L100" si="117">L99</f>
        <v>870282</v>
      </c>
      <c r="M100" s="44">
        <f t="shared" si="112"/>
        <v>870282</v>
      </c>
      <c r="N100" s="108">
        <f t="shared" si="59"/>
        <v>0</v>
      </c>
      <c r="O100" s="44">
        <f t="shared" ref="O100:Q100" si="118">O99</f>
        <v>870282</v>
      </c>
      <c r="P100" s="44">
        <f t="shared" si="118"/>
        <v>0</v>
      </c>
      <c r="Q100" s="44">
        <f t="shared" si="118"/>
        <v>870282</v>
      </c>
      <c r="R100" s="190">
        <f t="shared" ref="R100" si="119">R99</f>
        <v>870282</v>
      </c>
      <c r="S100" s="44">
        <f t="shared" si="112"/>
        <v>870282</v>
      </c>
      <c r="T100" s="44"/>
      <c r="U100" s="22">
        <f t="shared" si="61"/>
        <v>0</v>
      </c>
      <c r="V100" s="44">
        <f t="shared" si="112"/>
        <v>870282</v>
      </c>
      <c r="W100" s="44">
        <f t="shared" ref="W100:Z100" si="120">W99</f>
        <v>870282</v>
      </c>
      <c r="X100" s="44"/>
      <c r="Y100" s="22">
        <f t="shared" si="57"/>
        <v>0</v>
      </c>
      <c r="Z100" s="44">
        <f t="shared" si="120"/>
        <v>870282</v>
      </c>
      <c r="AA100" s="12"/>
      <c r="AB100" s="4"/>
      <c r="AC100" s="4"/>
      <c r="AD100" s="4"/>
      <c r="AE100" s="4"/>
    </row>
    <row r="101" spans="1:31" x14ac:dyDescent="0.3">
      <c r="A101" s="26">
        <v>4999</v>
      </c>
      <c r="B101" s="28"/>
      <c r="C101" s="27" t="s">
        <v>33</v>
      </c>
      <c r="D101" s="35">
        <f t="shared" ref="D101:V101" si="121">+D100+D97+D93</f>
        <v>911947</v>
      </c>
      <c r="E101" s="35">
        <f t="shared" si="121"/>
        <v>911947</v>
      </c>
      <c r="F101" s="35">
        <f t="shared" ref="F101" si="122">+F100+F97+F93</f>
        <v>773697</v>
      </c>
      <c r="G101" s="35">
        <f t="shared" si="121"/>
        <v>911947</v>
      </c>
      <c r="H101" s="35">
        <f t="shared" ref="H101" si="123">+H100+H97+H93</f>
        <v>911947</v>
      </c>
      <c r="I101" s="35">
        <f t="shared" ref="I101" si="124">+I100+I97+I93</f>
        <v>838810.63</v>
      </c>
      <c r="J101" s="35">
        <f t="shared" ref="J101" si="125">+J100+J97+J93</f>
        <v>73136.37</v>
      </c>
      <c r="K101" s="36"/>
      <c r="L101" s="36">
        <f t="shared" ref="L101" si="126">+L100+L97+L93</f>
        <v>911947</v>
      </c>
      <c r="M101" s="36">
        <f t="shared" si="121"/>
        <v>911947</v>
      </c>
      <c r="N101" s="108">
        <f t="shared" si="59"/>
        <v>0</v>
      </c>
      <c r="O101" s="36">
        <f t="shared" ref="O101:Q101" si="127">+O100+O97+O93</f>
        <v>911947</v>
      </c>
      <c r="P101" s="36">
        <f t="shared" si="127"/>
        <v>0</v>
      </c>
      <c r="Q101" s="36">
        <f t="shared" si="127"/>
        <v>911947</v>
      </c>
      <c r="R101" s="172">
        <f t="shared" ref="R101" si="128">+R100+R97+R93</f>
        <v>911947</v>
      </c>
      <c r="S101" s="36">
        <f t="shared" si="121"/>
        <v>911947</v>
      </c>
      <c r="T101" s="36"/>
      <c r="U101" s="22">
        <f t="shared" si="61"/>
        <v>0</v>
      </c>
      <c r="V101" s="36">
        <f t="shared" si="121"/>
        <v>911947</v>
      </c>
      <c r="W101" s="36">
        <f t="shared" ref="W101:Z101" si="129">+W100+W97+W93</f>
        <v>911947</v>
      </c>
      <c r="X101" s="36"/>
      <c r="Y101" s="22">
        <f t="shared" si="57"/>
        <v>0</v>
      </c>
      <c r="Z101" s="36">
        <f t="shared" si="129"/>
        <v>911947</v>
      </c>
      <c r="AA101" s="12"/>
      <c r="AB101" s="4"/>
      <c r="AC101" s="4"/>
      <c r="AD101" s="4"/>
      <c r="AE101" s="4"/>
    </row>
    <row r="102" spans="1:31" x14ac:dyDescent="0.3">
      <c r="A102" s="11"/>
      <c r="B102" s="12"/>
      <c r="C102" s="20"/>
      <c r="D102" s="12"/>
      <c r="E102" s="12"/>
      <c r="F102" s="12"/>
      <c r="G102" s="12"/>
      <c r="H102" s="12"/>
      <c r="I102" s="12"/>
      <c r="J102" s="19"/>
      <c r="K102" s="19"/>
      <c r="L102" s="19"/>
      <c r="M102" s="19"/>
      <c r="N102" s="108">
        <f t="shared" si="59"/>
        <v>0</v>
      </c>
      <c r="O102" s="19"/>
      <c r="P102" s="19"/>
      <c r="Q102" s="19"/>
      <c r="R102" s="183"/>
      <c r="S102" s="19"/>
      <c r="T102" s="19"/>
      <c r="U102" s="22">
        <f t="shared" si="61"/>
        <v>0</v>
      </c>
      <c r="V102" s="19"/>
      <c r="W102" s="19"/>
      <c r="X102" s="19"/>
      <c r="Y102" s="22">
        <f t="shared" si="57"/>
        <v>0</v>
      </c>
      <c r="Z102" s="19"/>
      <c r="AA102" s="12"/>
      <c r="AB102" s="4"/>
      <c r="AC102" s="4"/>
      <c r="AD102" s="4"/>
      <c r="AE102" s="4"/>
    </row>
    <row r="103" spans="1:31" x14ac:dyDescent="0.3">
      <c r="A103" s="11">
        <v>50</v>
      </c>
      <c r="B103" s="20" t="s">
        <v>44</v>
      </c>
      <c r="C103" s="20"/>
      <c r="D103" s="12"/>
      <c r="E103" s="12"/>
      <c r="F103" s="12"/>
      <c r="G103" s="12"/>
      <c r="H103" s="12"/>
      <c r="I103" s="12"/>
      <c r="J103" s="19"/>
      <c r="K103" s="19"/>
      <c r="L103" s="19"/>
      <c r="M103" s="19"/>
      <c r="N103" s="108">
        <f t="shared" si="59"/>
        <v>0</v>
      </c>
      <c r="O103" s="19"/>
      <c r="P103" s="19"/>
      <c r="Q103" s="19"/>
      <c r="R103" s="183"/>
      <c r="S103" s="19"/>
      <c r="T103" s="19"/>
      <c r="U103" s="22">
        <f t="shared" si="61"/>
        <v>0</v>
      </c>
      <c r="V103" s="19"/>
      <c r="W103" s="19"/>
      <c r="X103" s="19"/>
      <c r="Y103" s="22">
        <f t="shared" si="57"/>
        <v>0</v>
      </c>
      <c r="Z103" s="19"/>
      <c r="AA103" s="12"/>
      <c r="AB103" s="4"/>
      <c r="AC103" s="4"/>
      <c r="AD103" s="4"/>
      <c r="AE103" s="4"/>
    </row>
    <row r="104" spans="1:31" x14ac:dyDescent="0.3">
      <c r="A104" s="11">
        <v>5100</v>
      </c>
      <c r="B104" s="20" t="s">
        <v>45</v>
      </c>
      <c r="C104" s="12"/>
      <c r="D104" s="12"/>
      <c r="E104" s="12"/>
      <c r="F104" s="12"/>
      <c r="G104" s="12"/>
      <c r="H104" s="12"/>
      <c r="I104" s="12"/>
      <c r="J104" s="19"/>
      <c r="K104" s="19"/>
      <c r="L104" s="19"/>
      <c r="M104" s="19"/>
      <c r="N104" s="108">
        <f t="shared" si="59"/>
        <v>0</v>
      </c>
      <c r="O104" s="19"/>
      <c r="P104" s="19"/>
      <c r="Q104" s="19"/>
      <c r="R104" s="183"/>
      <c r="S104" s="19"/>
      <c r="T104" s="19"/>
      <c r="U104" s="22">
        <f t="shared" si="61"/>
        <v>0</v>
      </c>
      <c r="V104" s="19"/>
      <c r="W104" s="19"/>
      <c r="X104" s="19"/>
      <c r="Y104" s="22">
        <f t="shared" si="57"/>
        <v>0</v>
      </c>
      <c r="Z104" s="19"/>
      <c r="AA104" s="12"/>
      <c r="AB104" s="4"/>
      <c r="AC104" s="4"/>
      <c r="AD104" s="4"/>
      <c r="AE104" s="4"/>
    </row>
    <row r="105" spans="1:31" x14ac:dyDescent="0.3">
      <c r="A105" s="11"/>
      <c r="B105" s="20" t="s">
        <v>0</v>
      </c>
      <c r="C105" s="12" t="s">
        <v>140</v>
      </c>
      <c r="D105" s="42">
        <f>8100</f>
        <v>8100</v>
      </c>
      <c r="E105" s="42">
        <f>8100</f>
        <v>8100</v>
      </c>
      <c r="F105" s="42">
        <v>2661.52</v>
      </c>
      <c r="G105" s="42">
        <f t="shared" ref="G105:H106" si="130">+D105</f>
        <v>8100</v>
      </c>
      <c r="H105" s="42">
        <f t="shared" si="130"/>
        <v>8100</v>
      </c>
      <c r="I105" s="42">
        <v>234.4</v>
      </c>
      <c r="J105" s="22">
        <f t="shared" ref="J105:J109" si="131">+H105-I105</f>
        <v>7865.6</v>
      </c>
      <c r="K105" s="22"/>
      <c r="L105" s="51">
        <v>8100</v>
      </c>
      <c r="M105" s="51">
        <f>+G105</f>
        <v>8100</v>
      </c>
      <c r="N105" s="108">
        <f t="shared" si="59"/>
        <v>0</v>
      </c>
      <c r="O105" s="51">
        <v>8100</v>
      </c>
      <c r="P105" s="51"/>
      <c r="Q105" s="51">
        <v>8100</v>
      </c>
      <c r="R105" s="171">
        <v>8100</v>
      </c>
      <c r="S105" s="51">
        <f>+M105</f>
        <v>8100</v>
      </c>
      <c r="T105" s="22">
        <f t="shared" ref="T105:T109" si="132">+R105-S105</f>
        <v>0</v>
      </c>
      <c r="U105" s="22">
        <f t="shared" si="61"/>
        <v>0</v>
      </c>
      <c r="V105" s="51">
        <f>+R105</f>
        <v>8100</v>
      </c>
      <c r="W105" s="51">
        <f>+S105</f>
        <v>8100</v>
      </c>
      <c r="X105" s="51"/>
      <c r="Y105" s="22">
        <f t="shared" si="57"/>
        <v>0</v>
      </c>
      <c r="Z105" s="51">
        <f>+W105</f>
        <v>8100</v>
      </c>
      <c r="AA105" s="18" t="s">
        <v>76</v>
      </c>
      <c r="AB105" s="4"/>
      <c r="AC105" s="4"/>
      <c r="AD105" s="4"/>
      <c r="AE105" s="4"/>
    </row>
    <row r="106" spans="1:31" x14ac:dyDescent="0.3">
      <c r="A106" s="11"/>
      <c r="B106" s="20" t="s">
        <v>1</v>
      </c>
      <c r="C106" s="12" t="s">
        <v>46</v>
      </c>
      <c r="D106" s="42">
        <f>8000</f>
        <v>8000</v>
      </c>
      <c r="E106" s="42">
        <f>8000</f>
        <v>8000</v>
      </c>
      <c r="F106" s="42">
        <v>1117.4899999999998</v>
      </c>
      <c r="G106" s="42">
        <f t="shared" si="130"/>
        <v>8000</v>
      </c>
      <c r="H106" s="42">
        <f t="shared" si="130"/>
        <v>8000</v>
      </c>
      <c r="I106" s="42">
        <v>5308.92</v>
      </c>
      <c r="J106" s="22">
        <f t="shared" si="131"/>
        <v>2691.08</v>
      </c>
      <c r="K106" s="22"/>
      <c r="L106" s="42">
        <v>8000</v>
      </c>
      <c r="M106" s="42">
        <f>+G106</f>
        <v>8000</v>
      </c>
      <c r="N106" s="108">
        <f t="shared" si="59"/>
        <v>0</v>
      </c>
      <c r="O106" s="42">
        <v>8000</v>
      </c>
      <c r="P106" s="42"/>
      <c r="Q106" s="42">
        <v>8000</v>
      </c>
      <c r="R106" s="193">
        <v>8000</v>
      </c>
      <c r="S106" s="42">
        <f>+M106</f>
        <v>8000</v>
      </c>
      <c r="T106" s="22">
        <f t="shared" si="132"/>
        <v>0</v>
      </c>
      <c r="U106" s="22">
        <f t="shared" si="61"/>
        <v>0</v>
      </c>
      <c r="V106" s="42">
        <f>+R106</f>
        <v>8000</v>
      </c>
      <c r="W106" s="42">
        <f>+S106</f>
        <v>8000</v>
      </c>
      <c r="X106" s="42"/>
      <c r="Y106" s="22">
        <f t="shared" si="57"/>
        <v>0</v>
      </c>
      <c r="Z106" s="42">
        <f>+W106</f>
        <v>8000</v>
      </c>
      <c r="AA106" s="12" t="s">
        <v>76</v>
      </c>
      <c r="AB106" s="4"/>
      <c r="AC106" s="4"/>
      <c r="AD106" s="4"/>
      <c r="AE106" s="4"/>
    </row>
    <row r="107" spans="1:31" x14ac:dyDescent="0.3">
      <c r="A107" s="11"/>
      <c r="B107" s="20" t="s">
        <v>2</v>
      </c>
      <c r="C107" s="12" t="s">
        <v>47</v>
      </c>
      <c r="D107" s="42">
        <v>15000</v>
      </c>
      <c r="E107" s="42">
        <v>15000</v>
      </c>
      <c r="F107" s="42">
        <v>4678.79</v>
      </c>
      <c r="G107" s="42">
        <v>15000</v>
      </c>
      <c r="H107" s="42">
        <v>15000</v>
      </c>
      <c r="I107" s="42">
        <v>3011.15</v>
      </c>
      <c r="J107" s="22">
        <f t="shared" si="131"/>
        <v>11988.85</v>
      </c>
      <c r="K107" s="22"/>
      <c r="L107" s="51">
        <v>15000</v>
      </c>
      <c r="M107" s="51">
        <v>15000</v>
      </c>
      <c r="N107" s="108">
        <f t="shared" si="59"/>
        <v>0</v>
      </c>
      <c r="O107" s="51">
        <v>15000</v>
      </c>
      <c r="P107" s="51"/>
      <c r="Q107" s="51">
        <v>15000</v>
      </c>
      <c r="R107" s="171">
        <v>15000</v>
      </c>
      <c r="S107" s="51">
        <v>15000</v>
      </c>
      <c r="T107" s="22">
        <f t="shared" si="132"/>
        <v>0</v>
      </c>
      <c r="U107" s="22">
        <f t="shared" si="61"/>
        <v>0</v>
      </c>
      <c r="V107" s="51">
        <v>15000</v>
      </c>
      <c r="W107" s="51">
        <v>15000</v>
      </c>
      <c r="X107" s="51"/>
      <c r="Y107" s="22">
        <f t="shared" si="57"/>
        <v>0</v>
      </c>
      <c r="Z107" s="51">
        <v>15000</v>
      </c>
      <c r="AA107" s="12" t="s">
        <v>76</v>
      </c>
      <c r="AB107" s="4"/>
      <c r="AC107" s="4"/>
      <c r="AD107" s="4"/>
      <c r="AE107" s="4"/>
    </row>
    <row r="108" spans="1:31" x14ac:dyDescent="0.3">
      <c r="A108" s="11"/>
      <c r="B108" s="20" t="s">
        <v>3</v>
      </c>
      <c r="C108" s="12" t="s">
        <v>48</v>
      </c>
      <c r="D108" s="42">
        <v>8000</v>
      </c>
      <c r="E108" s="42">
        <v>8000</v>
      </c>
      <c r="F108" s="42">
        <v>533.84999999999991</v>
      </c>
      <c r="G108" s="42">
        <v>8000</v>
      </c>
      <c r="H108" s="42">
        <v>8000</v>
      </c>
      <c r="I108" s="42">
        <v>0</v>
      </c>
      <c r="J108" s="22">
        <f t="shared" si="131"/>
        <v>8000</v>
      </c>
      <c r="K108" s="22"/>
      <c r="L108" s="51">
        <v>8000</v>
      </c>
      <c r="M108" s="51">
        <v>8000</v>
      </c>
      <c r="N108" s="108">
        <f t="shared" si="59"/>
        <v>0</v>
      </c>
      <c r="O108" s="51">
        <v>8000</v>
      </c>
      <c r="P108" s="51"/>
      <c r="Q108" s="51">
        <v>8000</v>
      </c>
      <c r="R108" s="171">
        <v>8000</v>
      </c>
      <c r="S108" s="51">
        <v>8000</v>
      </c>
      <c r="T108" s="22">
        <f t="shared" si="132"/>
        <v>0</v>
      </c>
      <c r="U108" s="22">
        <f t="shared" si="61"/>
        <v>0</v>
      </c>
      <c r="V108" s="51">
        <v>8000</v>
      </c>
      <c r="W108" s="51">
        <v>8000</v>
      </c>
      <c r="X108" s="51"/>
      <c r="Y108" s="22">
        <f t="shared" si="57"/>
        <v>0</v>
      </c>
      <c r="Z108" s="51">
        <v>8000</v>
      </c>
      <c r="AA108" s="12" t="s">
        <v>76</v>
      </c>
      <c r="AB108" s="4"/>
      <c r="AC108" s="4"/>
      <c r="AD108" s="4"/>
      <c r="AE108" s="4"/>
    </row>
    <row r="109" spans="1:31" x14ac:dyDescent="0.3">
      <c r="A109" s="11"/>
      <c r="B109" s="20" t="s">
        <v>4</v>
      </c>
      <c r="C109" s="12" t="s">
        <v>49</v>
      </c>
      <c r="D109" s="42">
        <v>10000</v>
      </c>
      <c r="E109" s="42">
        <v>10000</v>
      </c>
      <c r="F109" s="42">
        <v>3138.2599999999998</v>
      </c>
      <c r="G109" s="42">
        <v>10000</v>
      </c>
      <c r="H109" s="42">
        <v>10000</v>
      </c>
      <c r="I109" s="42">
        <v>4978</v>
      </c>
      <c r="J109" s="22">
        <f t="shared" si="131"/>
        <v>5022</v>
      </c>
      <c r="K109" s="22"/>
      <c r="L109" s="51">
        <v>10000</v>
      </c>
      <c r="M109" s="51">
        <v>10000</v>
      </c>
      <c r="N109" s="108">
        <f t="shared" si="59"/>
        <v>0</v>
      </c>
      <c r="O109" s="51">
        <v>10000</v>
      </c>
      <c r="P109" s="51"/>
      <c r="Q109" s="51">
        <v>10000</v>
      </c>
      <c r="R109" s="171">
        <v>10000</v>
      </c>
      <c r="S109" s="51">
        <v>10000</v>
      </c>
      <c r="T109" s="22">
        <f t="shared" si="132"/>
        <v>0</v>
      </c>
      <c r="U109" s="22">
        <f t="shared" si="61"/>
        <v>0</v>
      </c>
      <c r="V109" s="51">
        <v>10000</v>
      </c>
      <c r="W109" s="51">
        <v>10000</v>
      </c>
      <c r="X109" s="51"/>
      <c r="Y109" s="22">
        <f t="shared" si="57"/>
        <v>0</v>
      </c>
      <c r="Z109" s="51">
        <v>10000</v>
      </c>
      <c r="AA109" s="12" t="s">
        <v>76</v>
      </c>
      <c r="AB109" s="4"/>
      <c r="AC109" s="4"/>
      <c r="AD109" s="4"/>
      <c r="AE109" s="4"/>
    </row>
    <row r="110" spans="1:31" s="57" customFormat="1" x14ac:dyDescent="0.3">
      <c r="A110" s="26">
        <v>5199</v>
      </c>
      <c r="B110" s="27"/>
      <c r="C110" s="28" t="s">
        <v>30</v>
      </c>
      <c r="D110" s="35">
        <f t="shared" ref="D110:S110" si="133">SUM(D105:D109)</f>
        <v>49100</v>
      </c>
      <c r="E110" s="35">
        <f t="shared" si="133"/>
        <v>49100</v>
      </c>
      <c r="F110" s="35">
        <f t="shared" ref="F110" si="134">SUM(F105:F109)</f>
        <v>12129.91</v>
      </c>
      <c r="G110" s="35">
        <f t="shared" si="133"/>
        <v>49100</v>
      </c>
      <c r="H110" s="35">
        <f t="shared" ref="H110" si="135">SUM(H105:H109)</f>
        <v>49100</v>
      </c>
      <c r="I110" s="35">
        <f t="shared" ref="I110:J110" si="136">SUM(I105:I109)</f>
        <v>13532.47</v>
      </c>
      <c r="J110" s="35">
        <f t="shared" si="136"/>
        <v>35567.53</v>
      </c>
      <c r="K110" s="36"/>
      <c r="L110" s="36">
        <f t="shared" ref="L110" si="137">SUM(L105:L109)</f>
        <v>49100</v>
      </c>
      <c r="M110" s="36">
        <f t="shared" si="133"/>
        <v>49100</v>
      </c>
      <c r="N110" s="108">
        <f t="shared" si="59"/>
        <v>0</v>
      </c>
      <c r="O110" s="36">
        <f t="shared" ref="O110:P110" si="138">SUM(O105:O109)</f>
        <v>49100</v>
      </c>
      <c r="P110" s="36">
        <f t="shared" si="138"/>
        <v>0</v>
      </c>
      <c r="Q110" s="36">
        <f t="shared" ref="Q110" si="139">SUM(Q105:Q109)</f>
        <v>49100</v>
      </c>
      <c r="R110" s="172">
        <f t="shared" ref="R110" si="140">SUM(R105:R109)</f>
        <v>49100</v>
      </c>
      <c r="S110" s="36">
        <f t="shared" si="133"/>
        <v>49100</v>
      </c>
      <c r="T110" s="36"/>
      <c r="U110" s="22">
        <f t="shared" si="61"/>
        <v>0</v>
      </c>
      <c r="V110" s="36">
        <f t="shared" ref="V110" si="141">SUM(V105:V109)</f>
        <v>49100</v>
      </c>
      <c r="W110" s="36">
        <f t="shared" ref="W110:Z110" si="142">SUM(W105:W109)</f>
        <v>49100</v>
      </c>
      <c r="X110" s="36"/>
      <c r="Y110" s="22">
        <f t="shared" si="57"/>
        <v>0</v>
      </c>
      <c r="Z110" s="36">
        <f t="shared" si="142"/>
        <v>49100</v>
      </c>
      <c r="AA110" s="28"/>
      <c r="AB110" s="56"/>
      <c r="AC110" s="56"/>
      <c r="AD110" s="56"/>
      <c r="AE110" s="56"/>
    </row>
    <row r="111" spans="1:31" x14ac:dyDescent="0.3">
      <c r="A111" s="11">
        <v>5200</v>
      </c>
      <c r="B111" s="12" t="s">
        <v>50</v>
      </c>
      <c r="C111" s="12"/>
      <c r="D111" s="12"/>
      <c r="E111" s="12"/>
      <c r="F111" s="12"/>
      <c r="G111" s="12"/>
      <c r="H111" s="12"/>
      <c r="I111" s="12"/>
      <c r="J111" s="19"/>
      <c r="K111" s="19"/>
      <c r="L111" s="19"/>
      <c r="M111" s="19"/>
      <c r="N111" s="108">
        <f t="shared" si="59"/>
        <v>0</v>
      </c>
      <c r="O111" s="19"/>
      <c r="P111" s="19"/>
      <c r="Q111" s="19"/>
      <c r="R111" s="183"/>
      <c r="S111" s="19"/>
      <c r="T111" s="19"/>
      <c r="U111" s="22">
        <f t="shared" si="61"/>
        <v>0</v>
      </c>
      <c r="V111" s="19"/>
      <c r="W111" s="19"/>
      <c r="X111" s="19"/>
      <c r="Y111" s="22">
        <f t="shared" si="57"/>
        <v>0</v>
      </c>
      <c r="Z111" s="19"/>
      <c r="AA111" s="12"/>
      <c r="AB111" s="4"/>
      <c r="AC111" s="4"/>
      <c r="AD111" s="4"/>
      <c r="AE111" s="4"/>
    </row>
    <row r="112" spans="1:31" x14ac:dyDescent="0.3">
      <c r="A112" s="11"/>
      <c r="B112" s="20" t="s">
        <v>0</v>
      </c>
      <c r="C112" s="12" t="s">
        <v>166</v>
      </c>
      <c r="D112" s="42">
        <f>15300*0.7</f>
        <v>10710</v>
      </c>
      <c r="E112" s="42">
        <f>15300*0.7</f>
        <v>10710</v>
      </c>
      <c r="F112" s="42">
        <v>1601</v>
      </c>
      <c r="G112" s="42">
        <f>+D112</f>
        <v>10710</v>
      </c>
      <c r="H112" s="42">
        <f>+E112</f>
        <v>10710</v>
      </c>
      <c r="I112" s="42">
        <v>7385.84</v>
      </c>
      <c r="J112" s="22">
        <f>+H112-I112</f>
        <v>3324.16</v>
      </c>
      <c r="K112" s="22"/>
      <c r="L112" s="51">
        <v>10710</v>
      </c>
      <c r="M112" s="51">
        <f>+G112</f>
        <v>10710</v>
      </c>
      <c r="N112" s="108">
        <f t="shared" si="59"/>
        <v>0</v>
      </c>
      <c r="O112" s="51">
        <v>10710</v>
      </c>
      <c r="P112" s="51"/>
      <c r="Q112" s="51">
        <v>10710</v>
      </c>
      <c r="R112" s="171">
        <v>10710</v>
      </c>
      <c r="S112" s="51">
        <f>+M112</f>
        <v>10710</v>
      </c>
      <c r="T112" s="22">
        <f t="shared" ref="T112" si="143">+R112-S112</f>
        <v>0</v>
      </c>
      <c r="U112" s="22">
        <f t="shared" si="61"/>
        <v>0</v>
      </c>
      <c r="V112" s="51">
        <f>+R112</f>
        <v>10710</v>
      </c>
      <c r="W112" s="51">
        <f>+S112</f>
        <v>10710</v>
      </c>
      <c r="X112" s="51"/>
      <c r="Y112" s="22">
        <f t="shared" si="57"/>
        <v>0</v>
      </c>
      <c r="Z112" s="51">
        <f>+W112</f>
        <v>10710</v>
      </c>
      <c r="AA112" s="12"/>
      <c r="AB112" s="4"/>
      <c r="AC112" s="54"/>
      <c r="AD112" s="4"/>
      <c r="AE112" s="4"/>
    </row>
    <row r="113" spans="1:31" s="57" customFormat="1" x14ac:dyDescent="0.3">
      <c r="A113" s="26">
        <v>5299</v>
      </c>
      <c r="B113" s="28"/>
      <c r="C113" s="27" t="s">
        <v>30</v>
      </c>
      <c r="D113" s="35">
        <f t="shared" ref="D113:V113" si="144">D112</f>
        <v>10710</v>
      </c>
      <c r="E113" s="35">
        <f t="shared" si="144"/>
        <v>10710</v>
      </c>
      <c r="F113" s="35">
        <f t="shared" ref="F113" si="145">F112</f>
        <v>1601</v>
      </c>
      <c r="G113" s="35">
        <f t="shared" si="144"/>
        <v>10710</v>
      </c>
      <c r="H113" s="35">
        <f t="shared" ref="H113" si="146">H112</f>
        <v>10710</v>
      </c>
      <c r="I113" s="35">
        <f t="shared" ref="I113:J113" si="147">I112</f>
        <v>7385.84</v>
      </c>
      <c r="J113" s="35">
        <f t="shared" si="147"/>
        <v>3324.16</v>
      </c>
      <c r="K113" s="36"/>
      <c r="L113" s="36">
        <f t="shared" ref="L113" si="148">L112</f>
        <v>10710</v>
      </c>
      <c r="M113" s="36">
        <f t="shared" si="144"/>
        <v>10710</v>
      </c>
      <c r="N113" s="108">
        <f t="shared" si="59"/>
        <v>0</v>
      </c>
      <c r="O113" s="36">
        <f t="shared" ref="O113:Q113" si="149">O112</f>
        <v>10710</v>
      </c>
      <c r="P113" s="36">
        <f t="shared" si="149"/>
        <v>0</v>
      </c>
      <c r="Q113" s="36">
        <f t="shared" si="149"/>
        <v>10710</v>
      </c>
      <c r="R113" s="172">
        <f t="shared" ref="R113" si="150">R112</f>
        <v>10710</v>
      </c>
      <c r="S113" s="36">
        <f t="shared" si="144"/>
        <v>10710</v>
      </c>
      <c r="T113" s="36"/>
      <c r="U113" s="22">
        <f t="shared" si="61"/>
        <v>0</v>
      </c>
      <c r="V113" s="36">
        <f t="shared" si="144"/>
        <v>10710</v>
      </c>
      <c r="W113" s="36">
        <f t="shared" ref="W113:Z113" si="151">W112</f>
        <v>10710</v>
      </c>
      <c r="X113" s="36"/>
      <c r="Y113" s="22">
        <f t="shared" si="57"/>
        <v>0</v>
      </c>
      <c r="Z113" s="36">
        <f t="shared" si="151"/>
        <v>10710</v>
      </c>
      <c r="AA113" s="28"/>
      <c r="AB113" s="56"/>
      <c r="AC113" s="56"/>
      <c r="AD113" s="56"/>
      <c r="AE113" s="56"/>
    </row>
    <row r="114" spans="1:31" x14ac:dyDescent="0.3">
      <c r="A114" s="11">
        <v>5300</v>
      </c>
      <c r="B114" s="20" t="s">
        <v>51</v>
      </c>
      <c r="C114" s="12"/>
      <c r="D114" s="12"/>
      <c r="E114" s="12"/>
      <c r="F114" s="12"/>
      <c r="G114" s="12"/>
      <c r="H114" s="12"/>
      <c r="I114" s="12"/>
      <c r="J114" s="19"/>
      <c r="K114" s="19"/>
      <c r="L114" s="19"/>
      <c r="M114" s="19"/>
      <c r="N114" s="108">
        <f t="shared" si="59"/>
        <v>0</v>
      </c>
      <c r="O114" s="19"/>
      <c r="P114" s="19"/>
      <c r="Q114" s="19"/>
      <c r="R114" s="183"/>
      <c r="S114" s="19"/>
      <c r="T114" s="19"/>
      <c r="U114" s="22">
        <f t="shared" si="61"/>
        <v>0</v>
      </c>
      <c r="V114" s="19"/>
      <c r="W114" s="19"/>
      <c r="X114" s="19"/>
      <c r="Y114" s="22">
        <f t="shared" si="57"/>
        <v>0</v>
      </c>
      <c r="Z114" s="19"/>
      <c r="AA114" s="12"/>
      <c r="AB114" s="4"/>
      <c r="AC114" s="4"/>
      <c r="AD114" s="4"/>
      <c r="AE114" s="4"/>
    </row>
    <row r="115" spans="1:31" x14ac:dyDescent="0.3">
      <c r="A115" s="11"/>
      <c r="B115" s="20" t="s">
        <v>0</v>
      </c>
      <c r="C115" s="12" t="s">
        <v>11</v>
      </c>
      <c r="D115" s="42">
        <f>58500</f>
        <v>58500</v>
      </c>
      <c r="E115" s="42">
        <f>58500</f>
        <v>58500</v>
      </c>
      <c r="F115" s="42">
        <v>32104</v>
      </c>
      <c r="G115" s="42">
        <v>58500</v>
      </c>
      <c r="H115" s="42">
        <v>58500</v>
      </c>
      <c r="I115" s="42">
        <v>50025.67</v>
      </c>
      <c r="J115" s="22">
        <f t="shared" ref="J115:J120" si="152">+H115-I115</f>
        <v>8474.3300000000017</v>
      </c>
      <c r="K115" s="22"/>
      <c r="L115" s="51">
        <v>58500</v>
      </c>
      <c r="M115" s="51">
        <v>58500</v>
      </c>
      <c r="N115" s="108">
        <f t="shared" si="59"/>
        <v>0</v>
      </c>
      <c r="O115" s="51">
        <v>58500</v>
      </c>
      <c r="P115" s="51"/>
      <c r="Q115" s="51">
        <v>58500</v>
      </c>
      <c r="R115" s="171">
        <v>58500</v>
      </c>
      <c r="S115" s="51">
        <v>58500</v>
      </c>
      <c r="T115" s="22">
        <f t="shared" ref="T115:T118" si="153">+R115-S115</f>
        <v>0</v>
      </c>
      <c r="U115" s="22">
        <f t="shared" si="61"/>
        <v>0</v>
      </c>
      <c r="V115" s="51">
        <v>58500</v>
      </c>
      <c r="W115" s="51">
        <v>58500</v>
      </c>
      <c r="X115" s="51"/>
      <c r="Y115" s="22">
        <f t="shared" si="57"/>
        <v>0</v>
      </c>
      <c r="Z115" s="51">
        <v>58500</v>
      </c>
      <c r="AA115" s="12" t="s">
        <v>76</v>
      </c>
      <c r="AB115" s="4"/>
      <c r="AC115" s="4"/>
      <c r="AD115" s="4"/>
      <c r="AE115" s="4"/>
    </row>
    <row r="116" spans="1:31" x14ac:dyDescent="0.3">
      <c r="A116" s="11"/>
      <c r="B116" s="20" t="s">
        <v>1</v>
      </c>
      <c r="C116" s="12" t="s">
        <v>79</v>
      </c>
      <c r="D116" s="42">
        <f>13500*0.7</f>
        <v>9450</v>
      </c>
      <c r="E116" s="42">
        <f>13500*0.7</f>
        <v>9450</v>
      </c>
      <c r="F116" s="42">
        <v>1820</v>
      </c>
      <c r="G116" s="42">
        <f>+D116</f>
        <v>9450</v>
      </c>
      <c r="H116" s="42">
        <f>+E116</f>
        <v>9450</v>
      </c>
      <c r="I116" s="42">
        <v>2896.7599999999998</v>
      </c>
      <c r="J116" s="22">
        <f t="shared" si="152"/>
        <v>6553.24</v>
      </c>
      <c r="K116" s="22"/>
      <c r="L116" s="51">
        <v>9450</v>
      </c>
      <c r="M116" s="51">
        <f>+G116</f>
        <v>9450</v>
      </c>
      <c r="N116" s="108">
        <f t="shared" si="59"/>
        <v>0</v>
      </c>
      <c r="O116" s="51">
        <v>9450</v>
      </c>
      <c r="P116" s="51"/>
      <c r="Q116" s="51">
        <v>9450</v>
      </c>
      <c r="R116" s="171">
        <v>9450</v>
      </c>
      <c r="S116" s="51">
        <f>+M116</f>
        <v>9450</v>
      </c>
      <c r="T116" s="22">
        <f t="shared" si="153"/>
        <v>0</v>
      </c>
      <c r="U116" s="22">
        <f t="shared" si="61"/>
        <v>0</v>
      </c>
      <c r="V116" s="51">
        <f>+R116</f>
        <v>9450</v>
      </c>
      <c r="W116" s="51">
        <f>+S116</f>
        <v>9450</v>
      </c>
      <c r="X116" s="51"/>
      <c r="Y116" s="22">
        <f t="shared" si="57"/>
        <v>0</v>
      </c>
      <c r="Z116" s="51">
        <f>+W116</f>
        <v>9450</v>
      </c>
      <c r="AA116" s="12" t="s">
        <v>76</v>
      </c>
      <c r="AB116" s="4"/>
      <c r="AC116" s="4"/>
      <c r="AD116" s="4"/>
      <c r="AE116" s="4"/>
    </row>
    <row r="117" spans="1:31" s="83" customFormat="1" x14ac:dyDescent="0.3">
      <c r="A117" s="11"/>
      <c r="B117" s="20" t="s">
        <v>2</v>
      </c>
      <c r="C117" s="12" t="s">
        <v>90</v>
      </c>
      <c r="D117" s="42">
        <v>4500</v>
      </c>
      <c r="E117" s="42">
        <v>4500</v>
      </c>
      <c r="F117" s="42">
        <v>1600</v>
      </c>
      <c r="G117" s="42">
        <v>4500</v>
      </c>
      <c r="H117" s="42">
        <v>4500</v>
      </c>
      <c r="I117" s="42">
        <v>199.85</v>
      </c>
      <c r="J117" s="22">
        <f t="shared" si="152"/>
        <v>4300.1499999999996</v>
      </c>
      <c r="K117" s="22"/>
      <c r="L117" s="51">
        <v>4500</v>
      </c>
      <c r="M117" s="51">
        <v>4500</v>
      </c>
      <c r="N117" s="108">
        <f t="shared" si="59"/>
        <v>0</v>
      </c>
      <c r="O117" s="51">
        <v>4500</v>
      </c>
      <c r="P117" s="51"/>
      <c r="Q117" s="51">
        <v>4500</v>
      </c>
      <c r="R117" s="171">
        <v>4500</v>
      </c>
      <c r="S117" s="51">
        <v>4500</v>
      </c>
      <c r="T117" s="22">
        <f t="shared" si="153"/>
        <v>0</v>
      </c>
      <c r="U117" s="22">
        <f t="shared" si="61"/>
        <v>0</v>
      </c>
      <c r="V117" s="51">
        <v>4500</v>
      </c>
      <c r="W117" s="51">
        <v>4500</v>
      </c>
      <c r="X117" s="51"/>
      <c r="Y117" s="22">
        <f t="shared" si="57"/>
        <v>0</v>
      </c>
      <c r="Z117" s="51">
        <v>4500</v>
      </c>
      <c r="AA117" s="12" t="s">
        <v>93</v>
      </c>
      <c r="AB117" s="73"/>
      <c r="AC117" s="73"/>
      <c r="AD117" s="73"/>
      <c r="AE117" s="73"/>
    </row>
    <row r="118" spans="1:31" x14ac:dyDescent="0.3">
      <c r="A118" s="11"/>
      <c r="B118" s="20" t="s">
        <v>4</v>
      </c>
      <c r="C118" s="12" t="s">
        <v>73</v>
      </c>
      <c r="D118" s="42">
        <v>20137</v>
      </c>
      <c r="E118" s="42">
        <v>20137</v>
      </c>
      <c r="F118" s="42">
        <v>211</v>
      </c>
      <c r="G118" s="42">
        <v>20137</v>
      </c>
      <c r="H118" s="42">
        <v>20137</v>
      </c>
      <c r="I118" s="42">
        <v>0</v>
      </c>
      <c r="J118" s="22">
        <f t="shared" si="152"/>
        <v>20137</v>
      </c>
      <c r="K118" s="22"/>
      <c r="L118" s="51">
        <v>20137</v>
      </c>
      <c r="M118" s="51">
        <v>20137</v>
      </c>
      <c r="N118" s="108">
        <f t="shared" si="59"/>
        <v>0</v>
      </c>
      <c r="O118" s="51">
        <v>20137</v>
      </c>
      <c r="P118" s="51"/>
      <c r="Q118" s="51">
        <v>20137</v>
      </c>
      <c r="R118" s="171">
        <v>20137</v>
      </c>
      <c r="S118" s="51">
        <v>20137</v>
      </c>
      <c r="T118" s="22">
        <f t="shared" si="153"/>
        <v>0</v>
      </c>
      <c r="U118" s="22">
        <f t="shared" si="61"/>
        <v>0</v>
      </c>
      <c r="V118" s="51">
        <v>20137</v>
      </c>
      <c r="W118" s="51">
        <v>20137</v>
      </c>
      <c r="X118" s="51"/>
      <c r="Y118" s="22">
        <f t="shared" si="57"/>
        <v>0</v>
      </c>
      <c r="Z118" s="51">
        <v>20137</v>
      </c>
      <c r="AA118" s="12" t="s">
        <v>92</v>
      </c>
      <c r="AB118" s="4"/>
      <c r="AC118" s="4"/>
      <c r="AD118" s="4"/>
      <c r="AE118" s="4"/>
    </row>
    <row r="119" spans="1:31" s="83" customFormat="1" x14ac:dyDescent="0.3">
      <c r="A119" s="11"/>
      <c r="B119" s="20" t="s">
        <v>5</v>
      </c>
      <c r="C119" s="12" t="s">
        <v>120</v>
      </c>
      <c r="D119" s="42">
        <v>4500</v>
      </c>
      <c r="E119" s="42">
        <v>4500</v>
      </c>
      <c r="F119" s="42">
        <v>1600</v>
      </c>
      <c r="G119" s="42"/>
      <c r="H119" s="42"/>
      <c r="I119" s="42">
        <v>1793</v>
      </c>
      <c r="J119" s="22">
        <f t="shared" si="152"/>
        <v>-1793</v>
      </c>
      <c r="K119" s="22"/>
      <c r="L119" s="51"/>
      <c r="M119" s="51"/>
      <c r="N119" s="108">
        <f t="shared" si="59"/>
        <v>0</v>
      </c>
      <c r="O119" s="51"/>
      <c r="P119" s="51"/>
      <c r="Q119" s="51"/>
      <c r="R119" s="171"/>
      <c r="S119" s="51"/>
      <c r="T119" s="51"/>
      <c r="U119" s="22">
        <f t="shared" si="61"/>
        <v>0</v>
      </c>
      <c r="V119" s="51"/>
      <c r="W119" s="51"/>
      <c r="X119" s="51"/>
      <c r="Y119" s="22">
        <f t="shared" si="57"/>
        <v>0</v>
      </c>
      <c r="Z119" s="51"/>
      <c r="AA119" s="12" t="s">
        <v>122</v>
      </c>
      <c r="AB119" s="73"/>
      <c r="AC119" s="73"/>
      <c r="AD119" s="73"/>
      <c r="AE119" s="73"/>
    </row>
    <row r="120" spans="1:31" x14ac:dyDescent="0.3">
      <c r="A120" s="11"/>
      <c r="B120" s="20" t="s">
        <v>3</v>
      </c>
      <c r="C120" s="12" t="s">
        <v>121</v>
      </c>
      <c r="D120" s="42">
        <v>20137</v>
      </c>
      <c r="E120" s="42">
        <v>20137</v>
      </c>
      <c r="F120" s="42">
        <v>211</v>
      </c>
      <c r="G120" s="42"/>
      <c r="H120" s="42"/>
      <c r="I120" s="42">
        <v>3276</v>
      </c>
      <c r="J120" s="22">
        <f t="shared" si="152"/>
        <v>-3276</v>
      </c>
      <c r="K120" s="22"/>
      <c r="L120" s="51"/>
      <c r="M120" s="51"/>
      <c r="N120" s="108">
        <f t="shared" si="59"/>
        <v>0</v>
      </c>
      <c r="O120" s="51"/>
      <c r="P120" s="51"/>
      <c r="Q120" s="51"/>
      <c r="R120" s="171"/>
      <c r="S120" s="51"/>
      <c r="T120" s="51"/>
      <c r="U120" s="22">
        <f t="shared" si="61"/>
        <v>0</v>
      </c>
      <c r="V120" s="51"/>
      <c r="W120" s="51"/>
      <c r="X120" s="51"/>
      <c r="Y120" s="22">
        <f t="shared" si="57"/>
        <v>0</v>
      </c>
      <c r="Z120" s="51"/>
      <c r="AA120" s="12" t="s">
        <v>123</v>
      </c>
      <c r="AB120" s="4"/>
      <c r="AC120" s="4"/>
      <c r="AD120" s="4"/>
      <c r="AE120" s="4"/>
    </row>
    <row r="121" spans="1:31" s="57" customFormat="1" x14ac:dyDescent="0.3">
      <c r="A121" s="26">
        <v>5399</v>
      </c>
      <c r="B121" s="28"/>
      <c r="C121" s="27" t="s">
        <v>30</v>
      </c>
      <c r="D121" s="43">
        <f t="shared" ref="D121:V121" si="154">SUM(D115:D120)</f>
        <v>117224</v>
      </c>
      <c r="E121" s="43">
        <f t="shared" si="154"/>
        <v>117224</v>
      </c>
      <c r="F121" s="43">
        <f t="shared" ref="F121" si="155">SUM(F115:F120)</f>
        <v>37546</v>
      </c>
      <c r="G121" s="43">
        <f t="shared" si="154"/>
        <v>92587</v>
      </c>
      <c r="H121" s="43">
        <f t="shared" ref="H121" si="156">SUM(H115:H120)</f>
        <v>92587</v>
      </c>
      <c r="I121" s="43">
        <f t="shared" ref="I121:J121" si="157">SUM(I115:I120)</f>
        <v>58191.28</v>
      </c>
      <c r="J121" s="43">
        <f t="shared" si="157"/>
        <v>34395.72</v>
      </c>
      <c r="K121" s="43"/>
      <c r="L121" s="43">
        <f t="shared" ref="L121" si="158">SUM(L115:L120)</f>
        <v>92587</v>
      </c>
      <c r="M121" s="43">
        <f t="shared" si="154"/>
        <v>92587</v>
      </c>
      <c r="N121" s="108">
        <f t="shared" si="59"/>
        <v>0</v>
      </c>
      <c r="O121" s="43">
        <f t="shared" ref="O121:Q121" si="159">SUM(O115:O120)</f>
        <v>92587</v>
      </c>
      <c r="P121" s="43">
        <f t="shared" si="159"/>
        <v>0</v>
      </c>
      <c r="Q121" s="43">
        <f t="shared" si="159"/>
        <v>92587</v>
      </c>
      <c r="R121" s="194">
        <f t="shared" ref="R121" si="160">SUM(R115:R120)</f>
        <v>92587</v>
      </c>
      <c r="S121" s="43">
        <f t="shared" si="154"/>
        <v>92587</v>
      </c>
      <c r="T121" s="43"/>
      <c r="U121" s="22">
        <f t="shared" si="61"/>
        <v>0</v>
      </c>
      <c r="V121" s="43">
        <f t="shared" si="154"/>
        <v>92587</v>
      </c>
      <c r="W121" s="43">
        <f t="shared" ref="W121:Z121" si="161">SUM(W115:W120)</f>
        <v>92587</v>
      </c>
      <c r="X121" s="43"/>
      <c r="Y121" s="22">
        <f t="shared" si="57"/>
        <v>0</v>
      </c>
      <c r="Z121" s="43">
        <f t="shared" si="161"/>
        <v>92587</v>
      </c>
      <c r="AA121" s="28"/>
      <c r="AB121" s="56"/>
      <c r="AC121" s="56"/>
      <c r="AD121" s="56"/>
      <c r="AE121" s="56"/>
    </row>
    <row r="122" spans="1:31" x14ac:dyDescent="0.3">
      <c r="A122" s="11">
        <v>5400</v>
      </c>
      <c r="B122" s="11" t="s">
        <v>84</v>
      </c>
      <c r="C122" s="11"/>
      <c r="D122" s="12"/>
      <c r="E122" s="12"/>
      <c r="F122" s="12"/>
      <c r="G122" s="12"/>
      <c r="H122" s="12"/>
      <c r="I122" s="12"/>
      <c r="J122" s="19"/>
      <c r="K122" s="19"/>
      <c r="L122" s="19"/>
      <c r="M122" s="19"/>
      <c r="N122" s="108">
        <f t="shared" si="59"/>
        <v>0</v>
      </c>
      <c r="O122" s="19"/>
      <c r="P122" s="19"/>
      <c r="Q122" s="19"/>
      <c r="R122" s="183"/>
      <c r="S122" s="19"/>
      <c r="T122" s="19"/>
      <c r="U122" s="22">
        <f t="shared" si="61"/>
        <v>0</v>
      </c>
      <c r="V122" s="19"/>
      <c r="W122" s="19"/>
      <c r="X122" s="19"/>
      <c r="Y122" s="22">
        <f t="shared" si="57"/>
        <v>0</v>
      </c>
      <c r="Z122" s="19"/>
      <c r="AA122" s="12"/>
      <c r="AB122" s="4"/>
      <c r="AC122" s="4"/>
      <c r="AD122" s="4"/>
      <c r="AE122" s="4"/>
    </row>
    <row r="123" spans="1:31" x14ac:dyDescent="0.3">
      <c r="A123" s="11"/>
      <c r="B123" s="20" t="s">
        <v>0</v>
      </c>
      <c r="C123" s="12" t="s">
        <v>165</v>
      </c>
      <c r="D123" s="42">
        <f>24000*0.7</f>
        <v>16800</v>
      </c>
      <c r="E123" s="42">
        <f>24000*0.7</f>
        <v>16800</v>
      </c>
      <c r="F123" s="42">
        <v>17914</v>
      </c>
      <c r="G123" s="42">
        <f>+D123</f>
        <v>16800</v>
      </c>
      <c r="H123" s="42">
        <f>+E123</f>
        <v>16800</v>
      </c>
      <c r="I123" s="42">
        <v>9561.630000000001</v>
      </c>
      <c r="J123" s="22">
        <f>+H123-I123</f>
        <v>7238.369999999999</v>
      </c>
      <c r="K123" s="22">
        <v>7238</v>
      </c>
      <c r="L123" s="51">
        <f>16800</f>
        <v>16800</v>
      </c>
      <c r="M123" s="103">
        <f>16800+7238</f>
        <v>24038</v>
      </c>
      <c r="N123" s="108">
        <f t="shared" si="59"/>
        <v>-7238</v>
      </c>
      <c r="O123" s="51">
        <f>16800</f>
        <v>16800</v>
      </c>
      <c r="P123" s="51"/>
      <c r="Q123" s="51">
        <f>16800</f>
        <v>16800</v>
      </c>
      <c r="R123" s="171">
        <f>16800</f>
        <v>16800</v>
      </c>
      <c r="S123" s="51">
        <f>16800+8400</f>
        <v>25200</v>
      </c>
      <c r="T123" s="22">
        <f t="shared" ref="T123" si="162">+R123-S123</f>
        <v>-8400</v>
      </c>
      <c r="U123" s="80">
        <f t="shared" si="61"/>
        <v>8400</v>
      </c>
      <c r="V123" s="51">
        <f>+R123</f>
        <v>16800</v>
      </c>
      <c r="W123" s="51">
        <f>+S123</f>
        <v>25200</v>
      </c>
      <c r="X123" s="51"/>
      <c r="Y123" s="22">
        <f t="shared" si="57"/>
        <v>8400</v>
      </c>
      <c r="Z123" s="51">
        <f>+W123</f>
        <v>25200</v>
      </c>
      <c r="AA123" s="81" t="s">
        <v>161</v>
      </c>
      <c r="AB123" s="4"/>
      <c r="AC123" s="4"/>
      <c r="AD123" s="4"/>
      <c r="AE123" s="4"/>
    </row>
    <row r="124" spans="1:31" s="57" customFormat="1" x14ac:dyDescent="0.3">
      <c r="A124" s="26">
        <v>5499</v>
      </c>
      <c r="B124" s="27"/>
      <c r="C124" s="28" t="s">
        <v>30</v>
      </c>
      <c r="D124" s="43">
        <f t="shared" ref="D124:V124" si="163">D123</f>
        <v>16800</v>
      </c>
      <c r="E124" s="43">
        <f t="shared" si="163"/>
        <v>16800</v>
      </c>
      <c r="F124" s="43">
        <f t="shared" ref="F124" si="164">F123</f>
        <v>17914</v>
      </c>
      <c r="G124" s="43">
        <f t="shared" si="163"/>
        <v>16800</v>
      </c>
      <c r="H124" s="43">
        <f t="shared" ref="H124" si="165">H123</f>
        <v>16800</v>
      </c>
      <c r="I124" s="43">
        <f t="shared" ref="I124:J124" si="166">I123</f>
        <v>9561.630000000001</v>
      </c>
      <c r="J124" s="43">
        <f t="shared" si="166"/>
        <v>7238.369999999999</v>
      </c>
      <c r="K124" s="44"/>
      <c r="L124" s="44">
        <f t="shared" ref="L124" si="167">L123</f>
        <v>16800</v>
      </c>
      <c r="M124" s="44">
        <f t="shared" si="163"/>
        <v>24038</v>
      </c>
      <c r="N124" s="108">
        <f>+M124-L124</f>
        <v>7238</v>
      </c>
      <c r="O124" s="44">
        <f t="shared" ref="O124:Q124" si="168">O123</f>
        <v>16800</v>
      </c>
      <c r="P124" s="44">
        <f t="shared" si="168"/>
        <v>0</v>
      </c>
      <c r="Q124" s="44">
        <f t="shared" si="168"/>
        <v>16800</v>
      </c>
      <c r="R124" s="190">
        <f t="shared" ref="R124" si="169">R123</f>
        <v>16800</v>
      </c>
      <c r="S124" s="44">
        <f t="shared" si="163"/>
        <v>25200</v>
      </c>
      <c r="T124" s="44"/>
      <c r="U124" s="22">
        <f t="shared" si="61"/>
        <v>8400</v>
      </c>
      <c r="V124" s="44">
        <f t="shared" si="163"/>
        <v>16800</v>
      </c>
      <c r="W124" s="44">
        <f t="shared" ref="W124:Z124" si="170">W123</f>
        <v>25200</v>
      </c>
      <c r="X124" s="44"/>
      <c r="Y124" s="22">
        <f t="shared" si="57"/>
        <v>8400</v>
      </c>
      <c r="Z124" s="44">
        <f t="shared" si="170"/>
        <v>25200</v>
      </c>
      <c r="AA124" s="12"/>
      <c r="AB124" s="56"/>
      <c r="AC124" s="56"/>
      <c r="AD124" s="56"/>
      <c r="AE124" s="56"/>
    </row>
    <row r="125" spans="1:31" x14ac:dyDescent="0.3">
      <c r="A125" s="26">
        <v>5999</v>
      </c>
      <c r="B125" s="28"/>
      <c r="C125" s="27" t="s">
        <v>33</v>
      </c>
      <c r="D125" s="35">
        <f t="shared" ref="D125:V125" si="171">+D124+D121+D113+D110</f>
        <v>193834</v>
      </c>
      <c r="E125" s="35">
        <f t="shared" si="171"/>
        <v>193834</v>
      </c>
      <c r="F125" s="35">
        <f t="shared" ref="F125" si="172">+F124+F121+F113+F110</f>
        <v>69190.91</v>
      </c>
      <c r="G125" s="35">
        <f t="shared" si="171"/>
        <v>169197</v>
      </c>
      <c r="H125" s="35">
        <f t="shared" ref="H125" si="173">+H124+H121+H113+H110</f>
        <v>169197</v>
      </c>
      <c r="I125" s="35">
        <f t="shared" ref="I125:J125" si="174">+I124+I121+I113+I110</f>
        <v>88671.22</v>
      </c>
      <c r="J125" s="35">
        <f t="shared" si="174"/>
        <v>80525.78</v>
      </c>
      <c r="K125" s="36"/>
      <c r="L125" s="36">
        <f t="shared" ref="L125" si="175">+L124+L121+L113+L110</f>
        <v>169197</v>
      </c>
      <c r="M125" s="36">
        <f t="shared" si="171"/>
        <v>176435</v>
      </c>
      <c r="N125" s="108">
        <f>+M125-L125</f>
        <v>7238</v>
      </c>
      <c r="O125" s="36">
        <f t="shared" ref="O125:Q125" si="176">+O124+O121+O113+O110</f>
        <v>169197</v>
      </c>
      <c r="P125" s="36">
        <f t="shared" si="176"/>
        <v>0</v>
      </c>
      <c r="Q125" s="36">
        <f t="shared" si="176"/>
        <v>169197</v>
      </c>
      <c r="R125" s="172">
        <f t="shared" ref="R125" si="177">+R124+R121+R113+R110</f>
        <v>169197</v>
      </c>
      <c r="S125" s="36">
        <f t="shared" si="171"/>
        <v>177597</v>
      </c>
      <c r="T125" s="36"/>
      <c r="U125" s="22">
        <f t="shared" si="61"/>
        <v>8400</v>
      </c>
      <c r="V125" s="36">
        <f t="shared" si="171"/>
        <v>169197</v>
      </c>
      <c r="W125" s="36">
        <f t="shared" ref="W125:Z125" si="178">+W124+W121+W113+W110</f>
        <v>177597</v>
      </c>
      <c r="X125" s="36"/>
      <c r="Y125" s="22">
        <f t="shared" si="57"/>
        <v>8400</v>
      </c>
      <c r="Z125" s="36">
        <f t="shared" si="178"/>
        <v>177597</v>
      </c>
      <c r="AA125" s="12"/>
      <c r="AB125" s="4"/>
      <c r="AC125" s="4"/>
      <c r="AD125" s="4"/>
      <c r="AE125" s="4"/>
    </row>
    <row r="126" spans="1:31" x14ac:dyDescent="0.3">
      <c r="A126" s="11" t="s">
        <v>52</v>
      </c>
      <c r="B126" s="20"/>
      <c r="C126" s="12"/>
      <c r="D126" s="58">
        <f t="shared" ref="D126:V126" si="179">+D125+D101+D88+D83+D75</f>
        <v>6912800.5155071625</v>
      </c>
      <c r="E126" s="58">
        <f t="shared" si="179"/>
        <v>7018064.5155071625</v>
      </c>
      <c r="F126" s="34">
        <f t="shared" ref="F126" si="180">+F125+F101+F88+F83+F75</f>
        <v>5916497.1547800004</v>
      </c>
      <c r="G126" s="34">
        <f t="shared" si="179"/>
        <v>6919419.8362631639</v>
      </c>
      <c r="H126" s="34">
        <f t="shared" ref="H126" si="181">+H125+H101+H88+H83+H75</f>
        <v>6919419.8385260347</v>
      </c>
      <c r="I126" s="34">
        <f t="shared" ref="I126:J126" si="182">+I125+I101+I88+I83+I75</f>
        <v>5050787.51</v>
      </c>
      <c r="J126" s="34">
        <f t="shared" si="182"/>
        <v>1868632.328526034</v>
      </c>
      <c r="K126" s="53"/>
      <c r="L126" s="53">
        <f t="shared" ref="L126:M126" si="183">+L125+L101+L88+L83+L75</f>
        <v>7094814.6513510589</v>
      </c>
      <c r="M126" s="53">
        <f t="shared" si="183"/>
        <v>7661845.6513510589</v>
      </c>
      <c r="N126" s="108">
        <f>+M126-L126</f>
        <v>567031</v>
      </c>
      <c r="O126" s="53">
        <f t="shared" ref="O126:Q126" si="184">+O125+O101+O88+O83+O75</f>
        <v>6769814.6513510589</v>
      </c>
      <c r="P126" s="53">
        <f t="shared" si="184"/>
        <v>404033</v>
      </c>
      <c r="Q126" s="53">
        <f t="shared" si="184"/>
        <v>7204647.6513510589</v>
      </c>
      <c r="R126" s="192">
        <f t="shared" ref="R126" si="185">+R125+R101+R88+R83+R75</f>
        <v>6823433.0687400158</v>
      </c>
      <c r="S126" s="53">
        <f t="shared" si="179"/>
        <v>7378176.3813412692</v>
      </c>
      <c r="T126" s="53"/>
      <c r="U126" s="22">
        <f t="shared" si="61"/>
        <v>554743.31260125339</v>
      </c>
      <c r="V126" s="53">
        <f t="shared" si="179"/>
        <v>6895517.5775153274</v>
      </c>
      <c r="W126" s="53">
        <f t="shared" ref="W126:Z126" si="186">+W125+W101+W88+W83+W75</f>
        <v>7451624.4594946187</v>
      </c>
      <c r="X126" s="53"/>
      <c r="Y126" s="22">
        <f t="shared" si="57"/>
        <v>556106.88197929133</v>
      </c>
      <c r="Z126" s="53">
        <f t="shared" si="186"/>
        <v>7573377.043279456</v>
      </c>
      <c r="AA126" s="12"/>
      <c r="AB126" s="4"/>
      <c r="AC126" s="4"/>
      <c r="AD126" s="4"/>
      <c r="AE126" s="4"/>
    </row>
    <row r="127" spans="1:31" x14ac:dyDescent="0.3">
      <c r="A127" s="11"/>
      <c r="B127" s="20"/>
      <c r="C127" s="12" t="s">
        <v>80</v>
      </c>
      <c r="D127" s="31">
        <f>(D31+D52)*0.09</f>
        <v>334035.13639564463</v>
      </c>
      <c r="E127" s="31">
        <f>(E31+E52)*0.09</f>
        <v>334035.13639564463</v>
      </c>
      <c r="F127" s="59">
        <v>269227</v>
      </c>
      <c r="G127" s="59">
        <f>(G31+G52)*0.09</f>
        <v>346184.44526368473</v>
      </c>
      <c r="H127" s="59">
        <v>346184.44526368473</v>
      </c>
      <c r="I127" s="59">
        <v>231840.51</v>
      </c>
      <c r="J127" s="22">
        <f>+H127-I127</f>
        <v>114343.93526368472</v>
      </c>
      <c r="K127" s="22"/>
      <c r="L127" s="60">
        <f>(L31+L52)*0.09</f>
        <v>356569.97862159531</v>
      </c>
      <c r="M127" s="104">
        <v>356570</v>
      </c>
      <c r="N127" s="108">
        <f>+M127-L127</f>
        <v>2.1378404693678021E-2</v>
      </c>
      <c r="O127" s="60">
        <v>356570</v>
      </c>
      <c r="P127" s="60"/>
      <c r="Q127" s="60">
        <v>356570</v>
      </c>
      <c r="R127" s="195">
        <f>(R31+R52)*0.09</f>
        <v>366795.63618660136</v>
      </c>
      <c r="S127" s="60">
        <f>(S31+S52)*0.09</f>
        <v>370805.34432071424</v>
      </c>
      <c r="T127" s="60">
        <f>+R127-S127</f>
        <v>-4009.7081341128796</v>
      </c>
      <c r="U127" s="22">
        <f t="shared" si="61"/>
        <v>4009.7081341128796</v>
      </c>
      <c r="V127" s="60">
        <f>(V31+V52)*0.09</f>
        <v>373283.24197637948</v>
      </c>
      <c r="W127" s="60">
        <f>(W31+W52)*0.09</f>
        <v>377413.24135451572</v>
      </c>
      <c r="X127" s="22">
        <f>+V127-W127</f>
        <v>-4129.9993781362427</v>
      </c>
      <c r="Y127" s="22">
        <f t="shared" si="57"/>
        <v>4129.9993781362427</v>
      </c>
      <c r="Z127" s="60">
        <f>(Z31+Z52)*0.09</f>
        <v>388370.97389515105</v>
      </c>
      <c r="AA127" s="12" t="s">
        <v>96</v>
      </c>
      <c r="AB127" s="4"/>
      <c r="AC127" s="4"/>
      <c r="AD127" s="4"/>
      <c r="AE127" s="4"/>
    </row>
    <row r="128" spans="1:31" x14ac:dyDescent="0.3">
      <c r="A128" s="26" t="s">
        <v>53</v>
      </c>
      <c r="B128" s="28"/>
      <c r="C128" s="12"/>
      <c r="D128" s="61">
        <f t="shared" ref="D128:V128" si="187">+D126+D127</f>
        <v>7246835.6519028069</v>
      </c>
      <c r="E128" s="61">
        <f t="shared" si="187"/>
        <v>7352099.6519028069</v>
      </c>
      <c r="F128" s="35">
        <f t="shared" ref="F128" si="188">+F126+F127</f>
        <v>6185724.1547800004</v>
      </c>
      <c r="G128" s="35">
        <f t="shared" si="187"/>
        <v>7265604.2815268487</v>
      </c>
      <c r="H128" s="35">
        <f t="shared" ref="H128" si="189">+H126+H127</f>
        <v>7265604.2837897195</v>
      </c>
      <c r="I128" s="35">
        <f t="shared" ref="I128:J128" si="190">+I126+I127</f>
        <v>5282628.0199999996</v>
      </c>
      <c r="J128" s="35">
        <f t="shared" si="190"/>
        <v>1982976.2637897187</v>
      </c>
      <c r="K128" s="36"/>
      <c r="L128" s="36">
        <f t="shared" ref="L128" si="191">+L126+L127</f>
        <v>7451384.6299726544</v>
      </c>
      <c r="M128" s="36">
        <f t="shared" si="187"/>
        <v>8018415.6513510589</v>
      </c>
      <c r="N128" s="36">
        <f t="shared" ref="N128:Q128" si="192">+N126+N127</f>
        <v>567031.02137840469</v>
      </c>
      <c r="O128" s="36">
        <f t="shared" si="192"/>
        <v>7126384.6513510589</v>
      </c>
      <c r="P128" s="36">
        <f t="shared" si="192"/>
        <v>404033</v>
      </c>
      <c r="Q128" s="36">
        <f t="shared" si="192"/>
        <v>7561217.6513510589</v>
      </c>
      <c r="R128" s="172">
        <f t="shared" ref="R128" si="193">+R126+R127</f>
        <v>7190228.7049266174</v>
      </c>
      <c r="S128" s="36">
        <f t="shared" si="187"/>
        <v>7748981.7256619837</v>
      </c>
      <c r="T128" s="36"/>
      <c r="U128" s="22">
        <f t="shared" si="61"/>
        <v>558753.02073536627</v>
      </c>
      <c r="V128" s="36">
        <f t="shared" si="187"/>
        <v>7268800.8194917068</v>
      </c>
      <c r="W128" s="36">
        <f t="shared" ref="W128:Z128" si="194">+W126+W127</f>
        <v>7829037.7008491345</v>
      </c>
      <c r="X128" s="36"/>
      <c r="Y128" s="22">
        <f t="shared" si="57"/>
        <v>560236.88135742769</v>
      </c>
      <c r="Z128" s="36">
        <f t="shared" si="194"/>
        <v>7961748.0171746071</v>
      </c>
      <c r="AA128" s="12"/>
      <c r="AB128" s="4"/>
      <c r="AC128" s="4"/>
      <c r="AD128" s="4"/>
      <c r="AE128" s="4"/>
    </row>
    <row r="129" spans="1:87" x14ac:dyDescent="0.3">
      <c r="A129" s="26"/>
      <c r="B129" s="28" t="s">
        <v>54</v>
      </c>
      <c r="C129" s="12"/>
      <c r="D129" s="35">
        <v>6818462.6519028069</v>
      </c>
      <c r="E129" s="35">
        <v>6818462.6519028069</v>
      </c>
      <c r="F129" s="35"/>
      <c r="G129" s="35">
        <v>6940604.2815268487</v>
      </c>
      <c r="H129" s="35">
        <v>6940604.2815268487</v>
      </c>
      <c r="I129" s="35">
        <v>6940604.2815268487</v>
      </c>
      <c r="J129" s="35">
        <v>6940604.2815268487</v>
      </c>
      <c r="K129" s="36"/>
      <c r="L129" s="36">
        <v>7126384.6299726544</v>
      </c>
      <c r="M129" s="36">
        <v>7126384.6299726544</v>
      </c>
      <c r="N129" s="36">
        <v>7126384.6299726544</v>
      </c>
      <c r="O129" s="36">
        <v>7126384.6299726544</v>
      </c>
      <c r="P129" s="36"/>
      <c r="Q129" s="36">
        <v>7126384.6299726544</v>
      </c>
      <c r="R129" s="172">
        <v>7190228.7049266174</v>
      </c>
      <c r="S129" s="36">
        <v>7190228.7049266174</v>
      </c>
      <c r="T129" s="36"/>
      <c r="U129" s="22">
        <f t="shared" si="61"/>
        <v>0</v>
      </c>
      <c r="V129" s="36">
        <v>7268800.8194917068</v>
      </c>
      <c r="W129" s="36">
        <v>7268800.8194917068</v>
      </c>
      <c r="X129" s="36"/>
      <c r="Y129" s="22">
        <f t="shared" si="57"/>
        <v>0</v>
      </c>
      <c r="Z129" s="36">
        <v>0</v>
      </c>
      <c r="AA129" s="12"/>
      <c r="AB129" s="4"/>
      <c r="AC129" s="4"/>
      <c r="AD129" s="4"/>
      <c r="AE129" s="4"/>
    </row>
    <row r="130" spans="1:87" x14ac:dyDescent="0.3">
      <c r="A130" s="26"/>
      <c r="B130" s="28" t="s">
        <v>55</v>
      </c>
      <c r="C130" s="28"/>
      <c r="D130" s="62">
        <f t="shared" ref="D130:S130" si="195">+D128-D129</f>
        <v>428373</v>
      </c>
      <c r="E130" s="62">
        <f t="shared" si="195"/>
        <v>533637</v>
      </c>
      <c r="F130" s="62"/>
      <c r="G130" s="62">
        <f t="shared" si="195"/>
        <v>325000</v>
      </c>
      <c r="H130" s="62">
        <f t="shared" ref="H130" si="196">+H128-H129</f>
        <v>325000.00226287078</v>
      </c>
      <c r="I130" s="63">
        <f>+I128-I129</f>
        <v>-1657976.2615268491</v>
      </c>
      <c r="J130" s="63">
        <f>+J128-J129</f>
        <v>-4957628.0177371297</v>
      </c>
      <c r="K130" s="63">
        <f>SUM(K75:K129)</f>
        <v>567031.28</v>
      </c>
      <c r="L130" s="63">
        <f>+L128-L129</f>
        <v>325000</v>
      </c>
      <c r="M130" s="63">
        <f t="shared" si="195"/>
        <v>892031.02137840446</v>
      </c>
      <c r="N130" s="63"/>
      <c r="O130" s="63">
        <f>+O128-O129</f>
        <v>2.1378404460847378E-2</v>
      </c>
      <c r="P130" s="63">
        <f>+P128-P129</f>
        <v>404033</v>
      </c>
      <c r="Q130" s="63">
        <f t="shared" ref="Q130" si="197">+Q128-Q129</f>
        <v>434833.02137840446</v>
      </c>
      <c r="R130" s="196">
        <f>+R128-R129</f>
        <v>0</v>
      </c>
      <c r="S130" s="63">
        <f t="shared" si="195"/>
        <v>558753.02073536627</v>
      </c>
      <c r="T130" s="63"/>
      <c r="U130" s="22">
        <f t="shared" si="61"/>
        <v>558753.02073536627</v>
      </c>
      <c r="V130" s="63">
        <f>+V128-V129</f>
        <v>0</v>
      </c>
      <c r="W130" s="63">
        <f t="shared" ref="W130:Z130" si="198">+W128-W129</f>
        <v>560236.88135742769</v>
      </c>
      <c r="X130" s="114">
        <f>+X127+X60</f>
        <v>-50018.881357428429</v>
      </c>
      <c r="Y130" s="22">
        <f t="shared" si="57"/>
        <v>560236.88135742769</v>
      </c>
      <c r="Z130" s="63">
        <f t="shared" si="198"/>
        <v>7961748.0171746071</v>
      </c>
      <c r="AA130" s="64"/>
      <c r="AB130" s="4"/>
      <c r="AC130" s="4"/>
      <c r="AD130" s="4"/>
      <c r="AE130" s="4"/>
    </row>
    <row r="131" spans="1:87" s="95" customFormat="1" x14ac:dyDescent="0.3">
      <c r="A131" s="65" t="s">
        <v>149</v>
      </c>
      <c r="B131" s="91"/>
      <c r="C131" s="91"/>
      <c r="D131" s="92"/>
      <c r="E131" s="92"/>
      <c r="F131" s="92"/>
      <c r="G131" s="92"/>
      <c r="H131" s="92"/>
      <c r="I131" s="115"/>
      <c r="J131" s="115"/>
      <c r="K131" s="115"/>
      <c r="L131" s="92"/>
      <c r="M131" s="115"/>
      <c r="N131" s="92"/>
      <c r="O131" s="92"/>
      <c r="P131" s="92"/>
      <c r="Q131" s="92"/>
      <c r="R131" s="197"/>
      <c r="S131" s="92"/>
      <c r="T131" s="92"/>
      <c r="U131" s="92"/>
      <c r="V131" s="92"/>
      <c r="W131" s="92"/>
      <c r="X131" s="92"/>
      <c r="Y131" s="92"/>
      <c r="Z131" s="92"/>
      <c r="AA131" s="93"/>
      <c r="AB131" s="94"/>
      <c r="AC131" s="94"/>
      <c r="AD131" s="94"/>
      <c r="AE131" s="94"/>
    </row>
    <row r="132" spans="1:87" s="95" customFormat="1" x14ac:dyDescent="0.3">
      <c r="A132" s="65"/>
      <c r="B132" s="91"/>
      <c r="C132" s="91"/>
      <c r="D132" s="105"/>
      <c r="E132" s="105"/>
      <c r="F132" s="105"/>
      <c r="G132" s="105"/>
      <c r="H132" s="105"/>
      <c r="I132" s="66"/>
      <c r="J132" s="66"/>
      <c r="K132" s="66"/>
      <c r="L132" s="105"/>
      <c r="M132" s="66"/>
      <c r="N132" s="105"/>
      <c r="O132" s="105"/>
      <c r="P132" s="105"/>
      <c r="Q132" s="105"/>
      <c r="R132" s="198"/>
      <c r="S132" s="105"/>
      <c r="T132" s="105"/>
      <c r="U132" s="105"/>
      <c r="V132" s="105"/>
      <c r="W132" s="105"/>
      <c r="X132" s="105"/>
      <c r="Y132" s="105"/>
      <c r="Z132" s="105"/>
      <c r="AA132" s="107"/>
      <c r="AB132" s="94"/>
      <c r="AC132" s="94"/>
      <c r="AD132" s="94"/>
      <c r="AE132" s="94"/>
    </row>
    <row r="133" spans="1:87" hidden="1" x14ac:dyDescent="0.3">
      <c r="A133" s="215" t="s">
        <v>116</v>
      </c>
      <c r="B133" s="215"/>
      <c r="C133" s="215"/>
      <c r="D133" s="215"/>
      <c r="E133" s="215"/>
      <c r="F133" s="215"/>
      <c r="G133" s="215"/>
      <c r="H133" s="215"/>
      <c r="I133" s="215"/>
      <c r="J133" s="215"/>
      <c r="K133" s="215"/>
      <c r="L133" s="215"/>
      <c r="M133" s="215"/>
      <c r="N133" s="215"/>
      <c r="O133" s="215"/>
      <c r="P133" s="215"/>
      <c r="Q133" s="215"/>
      <c r="R133" s="215"/>
      <c r="S133" s="215"/>
      <c r="T133" s="215"/>
      <c r="U133" s="215"/>
      <c r="V133" s="215"/>
      <c r="W133" s="215"/>
      <c r="X133" s="215"/>
      <c r="Y133" s="215"/>
      <c r="Z133" s="215"/>
      <c r="AA133" s="215"/>
      <c r="AB133" s="4"/>
      <c r="AC133" s="4"/>
      <c r="AD133" s="4"/>
      <c r="AE133" s="4"/>
    </row>
    <row r="134" spans="1:87" hidden="1" x14ac:dyDescent="0.3">
      <c r="A134" s="125"/>
      <c r="B134" s="126"/>
      <c r="C134" s="126"/>
      <c r="D134" s="127"/>
      <c r="E134" s="127"/>
      <c r="F134" s="127"/>
      <c r="G134" s="127"/>
      <c r="H134" s="127"/>
      <c r="I134" s="127"/>
      <c r="J134" s="127"/>
      <c r="K134" s="127"/>
      <c r="L134" s="128"/>
      <c r="M134" s="128"/>
      <c r="N134" s="129"/>
      <c r="O134" s="129"/>
      <c r="P134" s="129"/>
      <c r="Q134" s="129"/>
      <c r="S134" s="128"/>
      <c r="T134" s="128"/>
      <c r="U134" s="128"/>
      <c r="V134" s="128"/>
      <c r="W134" s="128"/>
      <c r="X134" s="128"/>
      <c r="Y134" s="128"/>
      <c r="Z134" s="127"/>
      <c r="AA134" s="130"/>
      <c r="AB134" s="4"/>
      <c r="AC134" s="4"/>
      <c r="AD134" s="4"/>
      <c r="AE134" s="4"/>
    </row>
    <row r="135" spans="1:87" s="3" customFormat="1" hidden="1" x14ac:dyDescent="0.25">
      <c r="A135" s="131"/>
      <c r="B135" s="132"/>
      <c r="C135" s="132"/>
      <c r="D135" s="133" t="s">
        <v>13</v>
      </c>
      <c r="E135" s="133" t="s">
        <v>14</v>
      </c>
      <c r="F135" s="133" t="s">
        <v>107</v>
      </c>
      <c r="G135" s="133" t="s">
        <v>13</v>
      </c>
      <c r="H135" s="133" t="s">
        <v>13</v>
      </c>
      <c r="I135" s="133" t="s">
        <v>107</v>
      </c>
      <c r="J135" s="133"/>
      <c r="K135" s="133"/>
      <c r="L135" s="133" t="s">
        <v>13</v>
      </c>
      <c r="M135" s="133" t="s">
        <v>14</v>
      </c>
      <c r="N135" s="134"/>
      <c r="O135" s="134"/>
      <c r="P135" s="134"/>
      <c r="Q135" s="134"/>
      <c r="R135" s="180" t="s">
        <v>110</v>
      </c>
      <c r="S135" s="135" t="s">
        <v>14</v>
      </c>
      <c r="T135" s="135"/>
      <c r="U135" s="135"/>
      <c r="V135" s="135" t="s">
        <v>110</v>
      </c>
      <c r="W135" s="135" t="s">
        <v>14</v>
      </c>
      <c r="X135" s="135"/>
      <c r="Y135" s="135"/>
      <c r="Z135" s="135" t="s">
        <v>111</v>
      </c>
      <c r="AA135" s="133"/>
      <c r="AB135" s="1"/>
      <c r="AC135" s="1"/>
      <c r="AD135" s="1"/>
      <c r="AE135" s="1"/>
      <c r="AJ135" s="1"/>
      <c r="AK135" s="1"/>
    </row>
    <row r="136" spans="1:87" s="3" customFormat="1" hidden="1" x14ac:dyDescent="0.25">
      <c r="A136" s="136"/>
      <c r="B136" s="137"/>
      <c r="C136" s="137"/>
      <c r="D136" s="138">
        <v>2014</v>
      </c>
      <c r="E136" s="138">
        <v>2014</v>
      </c>
      <c r="F136" s="138">
        <v>2014</v>
      </c>
      <c r="G136" s="138">
        <v>2015</v>
      </c>
      <c r="H136" s="138">
        <v>2015</v>
      </c>
      <c r="I136" s="138">
        <v>2015</v>
      </c>
      <c r="J136" s="138"/>
      <c r="K136" s="138"/>
      <c r="L136" s="138">
        <v>2016</v>
      </c>
      <c r="M136" s="138">
        <v>2016</v>
      </c>
      <c r="N136" s="139"/>
      <c r="O136" s="139"/>
      <c r="P136" s="139"/>
      <c r="Q136" s="139"/>
      <c r="R136" s="199">
        <v>2017</v>
      </c>
      <c r="S136" s="140">
        <v>2017</v>
      </c>
      <c r="T136" s="140"/>
      <c r="U136" s="140"/>
      <c r="V136" s="140">
        <v>2018</v>
      </c>
      <c r="W136" s="140">
        <v>2018</v>
      </c>
      <c r="X136" s="140"/>
      <c r="Y136" s="140"/>
      <c r="Z136" s="140">
        <v>2019</v>
      </c>
      <c r="AA136" s="132"/>
      <c r="AB136" s="1"/>
      <c r="AC136" s="1"/>
      <c r="AD136" s="1"/>
      <c r="AE136" s="1"/>
      <c r="AJ136" s="1"/>
      <c r="AK136" s="1"/>
    </row>
    <row r="137" spans="1:87" s="2" customFormat="1" hidden="1" x14ac:dyDescent="0.25">
      <c r="A137" s="141"/>
      <c r="B137" s="142"/>
      <c r="C137" s="142"/>
      <c r="D137" s="143"/>
      <c r="E137" s="143"/>
      <c r="F137" s="143"/>
      <c r="G137" s="143"/>
      <c r="H137" s="143"/>
      <c r="I137" s="143"/>
      <c r="J137" s="143"/>
      <c r="K137" s="143"/>
      <c r="L137" s="143"/>
      <c r="M137" s="143"/>
      <c r="N137" s="144"/>
      <c r="O137" s="144"/>
      <c r="P137" s="144"/>
      <c r="Q137" s="144"/>
      <c r="R137" s="200"/>
      <c r="S137" s="143"/>
      <c r="T137" s="143"/>
      <c r="U137" s="143"/>
      <c r="V137" s="143"/>
      <c r="W137" s="143"/>
      <c r="X137" s="143"/>
      <c r="Y137" s="143"/>
      <c r="Z137" s="143"/>
      <c r="AA137" s="132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</row>
    <row r="138" spans="1:87" s="3" customFormat="1" hidden="1" x14ac:dyDescent="0.25">
      <c r="A138" s="145">
        <v>1330</v>
      </c>
      <c r="B138" s="146"/>
      <c r="C138" s="142" t="s">
        <v>115</v>
      </c>
      <c r="D138" s="147"/>
      <c r="E138" s="147"/>
      <c r="F138" s="147"/>
      <c r="G138" s="147"/>
      <c r="H138" s="147"/>
      <c r="I138" s="147"/>
      <c r="J138" s="147"/>
      <c r="K138" s="147"/>
      <c r="L138" s="147"/>
      <c r="M138" s="147"/>
      <c r="N138" s="148"/>
      <c r="O138" s="148"/>
      <c r="P138" s="148"/>
      <c r="Q138" s="148"/>
      <c r="R138" s="201"/>
      <c r="S138" s="147"/>
      <c r="T138" s="147"/>
      <c r="U138" s="147"/>
      <c r="V138" s="147"/>
      <c r="W138" s="147"/>
      <c r="X138" s="147"/>
      <c r="Y138" s="149">
        <f t="shared" ref="Y138:Y149" si="199">SUM(W138-V138)</f>
        <v>0</v>
      </c>
      <c r="Z138" s="147"/>
      <c r="AA138" s="132"/>
      <c r="AB138" s="1"/>
      <c r="AC138" s="1"/>
      <c r="AD138" s="1"/>
      <c r="AE138" s="1"/>
      <c r="AJ138" s="1"/>
      <c r="AK138" s="1"/>
    </row>
    <row r="139" spans="1:87" s="3" customFormat="1" hidden="1" x14ac:dyDescent="0.25">
      <c r="A139" s="141"/>
      <c r="B139" s="150" t="s">
        <v>0</v>
      </c>
      <c r="C139" s="132" t="s">
        <v>112</v>
      </c>
      <c r="D139" s="143">
        <v>119700</v>
      </c>
      <c r="E139" s="143"/>
      <c r="F139" s="143"/>
      <c r="G139" s="143"/>
      <c r="H139" s="143"/>
      <c r="I139" s="143"/>
      <c r="J139" s="143"/>
      <c r="K139" s="143"/>
      <c r="L139" s="143"/>
      <c r="M139" s="143"/>
      <c r="N139" s="144"/>
      <c r="O139" s="144"/>
      <c r="P139" s="144"/>
      <c r="Q139" s="144"/>
      <c r="R139" s="200"/>
      <c r="S139" s="151">
        <v>50000</v>
      </c>
      <c r="T139" s="151"/>
      <c r="U139" s="151"/>
      <c r="V139" s="143"/>
      <c r="W139" s="151">
        <v>50000</v>
      </c>
      <c r="X139" s="151"/>
      <c r="Y139" s="149">
        <f t="shared" si="199"/>
        <v>50000</v>
      </c>
      <c r="Z139" s="151">
        <v>50000</v>
      </c>
      <c r="AA139" s="132"/>
      <c r="AB139" s="1"/>
      <c r="AC139" s="1"/>
      <c r="AD139" s="1"/>
      <c r="AE139" s="1"/>
      <c r="AJ139" s="86"/>
      <c r="AK139" s="1"/>
    </row>
    <row r="140" spans="1:87" s="3" customFormat="1" hidden="1" x14ac:dyDescent="0.25">
      <c r="A140" s="141"/>
      <c r="B140" s="150" t="s">
        <v>1</v>
      </c>
      <c r="C140" s="132" t="s">
        <v>114</v>
      </c>
      <c r="D140" s="151">
        <v>25000</v>
      </c>
      <c r="E140" s="151"/>
      <c r="F140" s="151"/>
      <c r="G140" s="151"/>
      <c r="H140" s="151"/>
      <c r="I140" s="151"/>
      <c r="J140" s="151"/>
      <c r="K140" s="151"/>
      <c r="L140" s="151"/>
      <c r="M140" s="151"/>
      <c r="N140" s="152"/>
      <c r="O140" s="152"/>
      <c r="P140" s="152"/>
      <c r="Q140" s="152"/>
      <c r="R140" s="202"/>
      <c r="S140" s="151">
        <v>50000</v>
      </c>
      <c r="T140" s="151"/>
      <c r="U140" s="151"/>
      <c r="V140" s="151"/>
      <c r="W140" s="151">
        <v>50000</v>
      </c>
      <c r="X140" s="151"/>
      <c r="Y140" s="149">
        <f t="shared" si="199"/>
        <v>50000</v>
      </c>
      <c r="Z140" s="151">
        <v>50000</v>
      </c>
      <c r="AA140" s="132"/>
      <c r="AB140" s="1"/>
      <c r="AC140" s="1"/>
      <c r="AD140" s="1"/>
      <c r="AE140" s="1"/>
      <c r="AJ140" s="86"/>
      <c r="AK140" s="1"/>
    </row>
    <row r="141" spans="1:87" s="3" customFormat="1" hidden="1" x14ac:dyDescent="0.25">
      <c r="A141" s="141"/>
      <c r="B141" s="150" t="s">
        <v>2</v>
      </c>
      <c r="C141" s="132" t="s">
        <v>117</v>
      </c>
      <c r="D141" s="143">
        <v>25000</v>
      </c>
      <c r="E141" s="143"/>
      <c r="F141" s="143"/>
      <c r="G141" s="143"/>
      <c r="H141" s="143"/>
      <c r="I141" s="143"/>
      <c r="J141" s="143"/>
      <c r="K141" s="143"/>
      <c r="L141" s="143"/>
      <c r="M141" s="143"/>
      <c r="N141" s="144"/>
      <c r="O141" s="144"/>
      <c r="P141" s="144"/>
      <c r="Q141" s="144"/>
      <c r="R141" s="200"/>
      <c r="S141" s="151">
        <v>180000</v>
      </c>
      <c r="T141" s="151"/>
      <c r="U141" s="151"/>
      <c r="V141" s="143"/>
      <c r="W141" s="151">
        <v>180000</v>
      </c>
      <c r="X141" s="151"/>
      <c r="Y141" s="149">
        <f t="shared" si="199"/>
        <v>180000</v>
      </c>
      <c r="Z141" s="151">
        <v>180000</v>
      </c>
      <c r="AA141" s="132"/>
      <c r="AB141" s="1"/>
      <c r="AC141" s="1"/>
      <c r="AD141" s="1"/>
      <c r="AE141" s="1"/>
      <c r="AJ141" s="86"/>
      <c r="AK141" s="1"/>
    </row>
    <row r="142" spans="1:87" s="3" customFormat="1" hidden="1" x14ac:dyDescent="0.25">
      <c r="A142" s="141"/>
      <c r="B142" s="150" t="s">
        <v>3</v>
      </c>
      <c r="C142" s="132" t="s">
        <v>113</v>
      </c>
      <c r="D142" s="143"/>
      <c r="E142" s="143"/>
      <c r="F142" s="143"/>
      <c r="G142" s="143"/>
      <c r="H142" s="143"/>
      <c r="I142" s="143"/>
      <c r="J142" s="143"/>
      <c r="K142" s="143"/>
      <c r="L142" s="143"/>
      <c r="M142" s="143"/>
      <c r="N142" s="144"/>
      <c r="O142" s="144"/>
      <c r="P142" s="144"/>
      <c r="Q142" s="144"/>
      <c r="R142" s="200"/>
      <c r="S142" s="151">
        <v>45000</v>
      </c>
      <c r="T142" s="151"/>
      <c r="U142" s="151"/>
      <c r="V142" s="143"/>
      <c r="W142" s="151">
        <v>45000</v>
      </c>
      <c r="X142" s="151"/>
      <c r="Y142" s="149">
        <f t="shared" si="199"/>
        <v>45000</v>
      </c>
      <c r="Z142" s="151">
        <v>45000</v>
      </c>
      <c r="AA142" s="132"/>
      <c r="AB142" s="1"/>
      <c r="AC142" s="1"/>
      <c r="AD142" s="1"/>
      <c r="AE142" s="1"/>
      <c r="AJ142" s="86"/>
      <c r="AK142" s="1"/>
    </row>
    <row r="143" spans="1:87" s="3" customFormat="1" hidden="1" x14ac:dyDescent="0.25">
      <c r="A143" s="145"/>
      <c r="B143" s="146"/>
      <c r="C143" s="132"/>
      <c r="D143" s="147"/>
      <c r="E143" s="147"/>
      <c r="F143" s="147"/>
      <c r="G143" s="147"/>
      <c r="H143" s="147"/>
      <c r="I143" s="147"/>
      <c r="J143" s="147"/>
      <c r="K143" s="147"/>
      <c r="L143" s="147"/>
      <c r="M143" s="147"/>
      <c r="N143" s="148"/>
      <c r="O143" s="148"/>
      <c r="P143" s="148"/>
      <c r="Q143" s="148"/>
      <c r="R143" s="201"/>
      <c r="S143" s="147"/>
      <c r="T143" s="147"/>
      <c r="U143" s="147"/>
      <c r="V143" s="147"/>
      <c r="W143" s="147"/>
      <c r="X143" s="147"/>
      <c r="Y143" s="149">
        <f t="shared" si="199"/>
        <v>0</v>
      </c>
      <c r="Z143" s="147"/>
      <c r="AA143" s="132"/>
      <c r="AB143" s="1"/>
      <c r="AC143" s="1"/>
      <c r="AD143" s="1"/>
      <c r="AE143" s="1"/>
      <c r="AJ143" s="1"/>
      <c r="AK143" s="1"/>
    </row>
    <row r="144" spans="1:87" s="3" customFormat="1" hidden="1" x14ac:dyDescent="0.25">
      <c r="A144" s="141"/>
      <c r="B144" s="150" t="s">
        <v>4</v>
      </c>
      <c r="C144" s="132" t="s">
        <v>112</v>
      </c>
      <c r="D144" s="143">
        <v>119700</v>
      </c>
      <c r="E144" s="143"/>
      <c r="F144" s="143"/>
      <c r="G144" s="143"/>
      <c r="H144" s="143"/>
      <c r="I144" s="143"/>
      <c r="J144" s="143"/>
      <c r="K144" s="143"/>
      <c r="L144" s="143"/>
      <c r="M144" s="143"/>
      <c r="N144" s="144"/>
      <c r="O144" s="144"/>
      <c r="P144" s="144"/>
      <c r="Q144" s="144"/>
      <c r="R144" s="200"/>
      <c r="S144" s="151">
        <v>50000</v>
      </c>
      <c r="T144" s="151"/>
      <c r="U144" s="151"/>
      <c r="V144" s="143"/>
      <c r="W144" s="151">
        <v>50000</v>
      </c>
      <c r="X144" s="151"/>
      <c r="Y144" s="149">
        <f t="shared" si="199"/>
        <v>50000</v>
      </c>
      <c r="Z144" s="151">
        <v>50000</v>
      </c>
      <c r="AA144" s="132"/>
      <c r="AB144" s="1"/>
      <c r="AC144" s="1"/>
      <c r="AD144" s="1"/>
      <c r="AE144" s="1"/>
      <c r="AJ144" s="86"/>
      <c r="AK144" s="1"/>
    </row>
    <row r="145" spans="1:38" s="3" customFormat="1" hidden="1" x14ac:dyDescent="0.25">
      <c r="A145" s="141"/>
      <c r="B145" s="150" t="s">
        <v>5</v>
      </c>
      <c r="C145" s="132" t="s">
        <v>114</v>
      </c>
      <c r="D145" s="151">
        <v>25000</v>
      </c>
      <c r="E145" s="151"/>
      <c r="F145" s="151"/>
      <c r="G145" s="151"/>
      <c r="H145" s="151"/>
      <c r="I145" s="151"/>
      <c r="J145" s="151"/>
      <c r="K145" s="151"/>
      <c r="L145" s="151"/>
      <c r="M145" s="151"/>
      <c r="N145" s="152"/>
      <c r="O145" s="152"/>
      <c r="P145" s="152"/>
      <c r="Q145" s="152"/>
      <c r="R145" s="202"/>
      <c r="S145" s="151">
        <v>50000</v>
      </c>
      <c r="T145" s="151"/>
      <c r="U145" s="151"/>
      <c r="V145" s="151"/>
      <c r="W145" s="151">
        <v>50000</v>
      </c>
      <c r="X145" s="151"/>
      <c r="Y145" s="149">
        <f t="shared" si="199"/>
        <v>50000</v>
      </c>
      <c r="Z145" s="151">
        <v>50000</v>
      </c>
      <c r="AA145" s="132"/>
      <c r="AB145" s="1"/>
      <c r="AC145" s="1"/>
      <c r="AD145" s="1"/>
      <c r="AE145" s="1"/>
      <c r="AJ145" s="86"/>
      <c r="AK145" s="1"/>
    </row>
    <row r="146" spans="1:38" s="3" customFormat="1" hidden="1" x14ac:dyDescent="0.25">
      <c r="A146" s="141"/>
      <c r="B146" s="150" t="s">
        <v>6</v>
      </c>
      <c r="C146" s="132" t="s">
        <v>117</v>
      </c>
      <c r="D146" s="143">
        <v>25000</v>
      </c>
      <c r="E146" s="143"/>
      <c r="F146" s="143"/>
      <c r="G146" s="143"/>
      <c r="H146" s="143"/>
      <c r="I146" s="143"/>
      <c r="J146" s="143"/>
      <c r="K146" s="143"/>
      <c r="L146" s="143"/>
      <c r="M146" s="143"/>
      <c r="N146" s="144"/>
      <c r="O146" s="144"/>
      <c r="P146" s="144"/>
      <c r="Q146" s="144"/>
      <c r="R146" s="200"/>
      <c r="S146" s="151">
        <v>180000</v>
      </c>
      <c r="T146" s="151"/>
      <c r="U146" s="151"/>
      <c r="V146" s="143"/>
      <c r="W146" s="151">
        <v>180000</v>
      </c>
      <c r="X146" s="151"/>
      <c r="Y146" s="149">
        <f t="shared" si="199"/>
        <v>180000</v>
      </c>
      <c r="Z146" s="151">
        <v>180000</v>
      </c>
      <c r="AA146" s="132"/>
      <c r="AB146" s="1"/>
      <c r="AC146" s="1"/>
      <c r="AD146" s="1"/>
      <c r="AE146" s="1"/>
      <c r="AJ146" s="86"/>
      <c r="AK146" s="1"/>
    </row>
    <row r="147" spans="1:38" s="3" customFormat="1" hidden="1" x14ac:dyDescent="0.25">
      <c r="A147" s="141"/>
      <c r="B147" s="150" t="s">
        <v>7</v>
      </c>
      <c r="C147" s="132" t="s">
        <v>113</v>
      </c>
      <c r="D147" s="143"/>
      <c r="E147" s="143"/>
      <c r="F147" s="143"/>
      <c r="G147" s="143"/>
      <c r="H147" s="143"/>
      <c r="I147" s="143"/>
      <c r="J147" s="143"/>
      <c r="K147" s="143"/>
      <c r="L147" s="143"/>
      <c r="M147" s="143"/>
      <c r="N147" s="144"/>
      <c r="O147" s="144"/>
      <c r="P147" s="144"/>
      <c r="Q147" s="144"/>
      <c r="R147" s="200"/>
      <c r="S147" s="151">
        <v>45000</v>
      </c>
      <c r="T147" s="151"/>
      <c r="U147" s="151"/>
      <c r="V147" s="143"/>
      <c r="W147" s="151">
        <v>45000</v>
      </c>
      <c r="X147" s="151"/>
      <c r="Y147" s="149">
        <f t="shared" si="199"/>
        <v>45000</v>
      </c>
      <c r="Z147" s="151">
        <v>45000</v>
      </c>
      <c r="AA147" s="132"/>
      <c r="AB147" s="1"/>
      <c r="AC147" s="1"/>
      <c r="AD147" s="1"/>
      <c r="AE147" s="1"/>
      <c r="AJ147" s="86"/>
      <c r="AK147" s="1"/>
    </row>
    <row r="148" spans="1:38" hidden="1" x14ac:dyDescent="0.3">
      <c r="A148" s="131"/>
      <c r="B148" s="132"/>
      <c r="C148" s="142" t="s">
        <v>30</v>
      </c>
      <c r="D148" s="128"/>
      <c r="E148" s="128"/>
      <c r="F148" s="147"/>
      <c r="G148" s="147"/>
      <c r="H148" s="147"/>
      <c r="I148" s="147"/>
      <c r="J148" s="147"/>
      <c r="K148" s="147"/>
      <c r="L148" s="147"/>
      <c r="M148" s="147"/>
      <c r="N148" s="148"/>
      <c r="O148" s="148"/>
      <c r="P148" s="148"/>
      <c r="Q148" s="148"/>
      <c r="R148" s="201"/>
      <c r="S148" s="147">
        <f>SUM(S139:S147)</f>
        <v>650000</v>
      </c>
      <c r="T148" s="147"/>
      <c r="U148" s="147"/>
      <c r="V148" s="147"/>
      <c r="W148" s="147">
        <f>SUM(W139:W147)</f>
        <v>650000</v>
      </c>
      <c r="X148" s="147"/>
      <c r="Y148" s="149">
        <f t="shared" si="199"/>
        <v>650000</v>
      </c>
      <c r="Z148" s="147">
        <f>SUM(Z139:Z147)</f>
        <v>650000</v>
      </c>
      <c r="AA148" s="147"/>
      <c r="AJ148" s="4"/>
      <c r="AK148" s="4"/>
    </row>
    <row r="149" spans="1:38" hidden="1" x14ac:dyDescent="0.3">
      <c r="A149" s="131"/>
      <c r="B149" s="151"/>
      <c r="C149" s="142" t="s">
        <v>52</v>
      </c>
      <c r="D149" s="143"/>
      <c r="E149" s="143"/>
      <c r="F149" s="143">
        <f>+F148+F128</f>
        <v>6185724.1547800004</v>
      </c>
      <c r="G149" s="143">
        <f>+G148+G128</f>
        <v>7265604.2815268487</v>
      </c>
      <c r="H149" s="143">
        <f>+H148+H128</f>
        <v>7265604.2837897195</v>
      </c>
      <c r="I149" s="143">
        <f>+I148+I128</f>
        <v>5282628.0199999996</v>
      </c>
      <c r="J149" s="143"/>
      <c r="K149" s="143"/>
      <c r="L149" s="143">
        <f>+L148+L128</f>
        <v>7451384.6299726544</v>
      </c>
      <c r="M149" s="143">
        <f>+M148+M128</f>
        <v>8018415.6513510589</v>
      </c>
      <c r="N149" s="143"/>
      <c r="O149" s="143"/>
      <c r="P149" s="143"/>
      <c r="Q149" s="143"/>
      <c r="R149" s="200">
        <f>+R148+R128</f>
        <v>7190228.7049266174</v>
      </c>
      <c r="S149" s="143">
        <f>+S148+S128</f>
        <v>8398981.7256619837</v>
      </c>
      <c r="T149" s="143"/>
      <c r="U149" s="143"/>
      <c r="V149" s="143">
        <f>+V148+V128</f>
        <v>7268800.8194917068</v>
      </c>
      <c r="W149" s="143">
        <f>+W148+W128</f>
        <v>8479037.7008491345</v>
      </c>
      <c r="X149" s="143"/>
      <c r="Y149" s="149">
        <f t="shared" si="199"/>
        <v>1210236.8813574277</v>
      </c>
      <c r="Z149" s="143">
        <f>+Z148+Z128</f>
        <v>8611748.0171746071</v>
      </c>
      <c r="AA149" s="130"/>
      <c r="AB149" s="4"/>
      <c r="AC149" s="4"/>
      <c r="AD149" s="4"/>
      <c r="AE149" s="4"/>
    </row>
    <row r="150" spans="1:38" x14ac:dyDescent="0.3">
      <c r="A150" s="65"/>
      <c r="B150" s="48"/>
      <c r="C150" s="48"/>
      <c r="D150" s="66"/>
      <c r="E150" s="66"/>
      <c r="F150" s="66"/>
      <c r="G150" s="66"/>
      <c r="H150" s="66"/>
      <c r="I150" s="66"/>
      <c r="J150" s="66"/>
      <c r="K150" s="66"/>
      <c r="L150" s="66"/>
      <c r="M150" s="66"/>
      <c r="N150" s="105"/>
      <c r="O150" s="105"/>
      <c r="P150" s="105"/>
      <c r="Q150" s="105"/>
      <c r="R150" s="203"/>
      <c r="S150" s="66"/>
      <c r="T150" s="66"/>
      <c r="U150" s="66"/>
      <c r="V150" s="66"/>
      <c r="W150" s="66"/>
      <c r="X150" s="66"/>
      <c r="Y150" s="66"/>
      <c r="Z150" s="66"/>
      <c r="AA150" s="208"/>
      <c r="AB150" s="208"/>
      <c r="AC150" s="208"/>
      <c r="AD150" s="4"/>
      <c r="AE150" s="4"/>
    </row>
    <row r="151" spans="1:38" ht="19.5" hidden="1" thickBot="1" x14ac:dyDescent="0.35">
      <c r="A151" s="68"/>
      <c r="B151" s="68"/>
      <c r="C151" s="68"/>
      <c r="D151" s="69"/>
      <c r="E151" s="70"/>
      <c r="F151" s="68"/>
      <c r="G151" s="68"/>
      <c r="H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87"/>
      <c r="AK151" s="87"/>
      <c r="AL151" s="68"/>
    </row>
    <row r="152" spans="1:38" ht="19.5" hidden="1" thickBot="1" x14ac:dyDescent="0.35">
      <c r="A152" s="68"/>
      <c r="B152" s="68"/>
      <c r="C152" s="68"/>
      <c r="D152" s="69"/>
      <c r="E152" s="70"/>
      <c r="F152" s="68"/>
      <c r="G152" s="68"/>
      <c r="H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68"/>
      <c r="AG152" s="68"/>
      <c r="AH152" s="68"/>
      <c r="AI152" s="68"/>
      <c r="AJ152" s="68"/>
      <c r="AK152" s="68"/>
      <c r="AL152" s="68"/>
    </row>
    <row r="153" spans="1:38" ht="19.5" hidden="1" thickBot="1" x14ac:dyDescent="0.35">
      <c r="A153" s="68"/>
      <c r="B153" s="68"/>
      <c r="C153" s="68"/>
      <c r="D153" s="69"/>
      <c r="E153" s="71"/>
      <c r="F153" s="68"/>
      <c r="G153" s="68"/>
      <c r="H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</row>
    <row r="154" spans="1:38" hidden="1" x14ac:dyDescent="0.3"/>
    <row r="155" spans="1:38" hidden="1" x14ac:dyDescent="0.3"/>
    <row r="156" spans="1:38" hidden="1" x14ac:dyDescent="0.3">
      <c r="V156" s="6">
        <v>0.18</v>
      </c>
      <c r="Y156" s="6">
        <f>175000*1.22</f>
        <v>213500</v>
      </c>
    </row>
    <row r="157" spans="1:38" hidden="1" x14ac:dyDescent="0.3">
      <c r="V157" s="6">
        <v>0.22</v>
      </c>
    </row>
    <row r="158" spans="1:38" hidden="1" x14ac:dyDescent="0.3">
      <c r="V158" s="6">
        <f>+V157-V156</f>
        <v>4.0000000000000008E-2</v>
      </c>
    </row>
    <row r="159" spans="1:38" hidden="1" x14ac:dyDescent="0.3">
      <c r="V159" s="6">
        <f>+V158/V157</f>
        <v>0.18181818181818185</v>
      </c>
    </row>
    <row r="160" spans="1:38" hidden="1" x14ac:dyDescent="0.3">
      <c r="C160" s="6">
        <f>175000-213500</f>
        <v>-38500</v>
      </c>
      <c r="V160" s="6">
        <f>+V158/V156</f>
        <v>0.22222222222222227</v>
      </c>
    </row>
    <row r="161" spans="3:22" hidden="1" x14ac:dyDescent="0.3">
      <c r="C161" s="6">
        <f>+C160*3</f>
        <v>-115500</v>
      </c>
    </row>
    <row r="162" spans="3:22" hidden="1" x14ac:dyDescent="0.3">
      <c r="V162" s="6">
        <v>0.18</v>
      </c>
    </row>
    <row r="163" spans="3:22" hidden="1" x14ac:dyDescent="0.3">
      <c r="V163" s="6">
        <f>+V162*1.22</f>
        <v>0.21959999999999999</v>
      </c>
    </row>
    <row r="164" spans="3:22" hidden="1" x14ac:dyDescent="0.3"/>
    <row r="165" spans="3:22" hidden="1" x14ac:dyDescent="0.3"/>
    <row r="166" spans="3:22" hidden="1" x14ac:dyDescent="0.3">
      <c r="V166" s="6">
        <f>+V156*1.22</f>
        <v>0.21959999999999999</v>
      </c>
    </row>
    <row r="167" spans="3:22" hidden="1" x14ac:dyDescent="0.3"/>
    <row r="168" spans="3:22" hidden="1" x14ac:dyDescent="0.3"/>
    <row r="169" spans="3:22" hidden="1" x14ac:dyDescent="0.3"/>
    <row r="170" spans="3:22" hidden="1" x14ac:dyDescent="0.3"/>
    <row r="171" spans="3:22" hidden="1" x14ac:dyDescent="0.3">
      <c r="V171" s="6">
        <v>175000</v>
      </c>
    </row>
    <row r="172" spans="3:22" hidden="1" x14ac:dyDescent="0.3">
      <c r="V172" s="6">
        <f>+V171*1.18</f>
        <v>206500</v>
      </c>
    </row>
    <row r="173" spans="3:22" hidden="1" x14ac:dyDescent="0.3"/>
    <row r="174" spans="3:22" hidden="1" x14ac:dyDescent="0.3"/>
    <row r="175" spans="3:22" hidden="1" x14ac:dyDescent="0.3"/>
    <row r="176" spans="3:22" hidden="1" x14ac:dyDescent="0.3"/>
    <row r="177" spans="22:25" hidden="1" x14ac:dyDescent="0.3"/>
    <row r="178" spans="22:25" hidden="1" x14ac:dyDescent="0.3"/>
    <row r="179" spans="22:25" hidden="1" x14ac:dyDescent="0.3">
      <c r="V179" s="153">
        <v>40000</v>
      </c>
      <c r="W179" s="153">
        <v>40000</v>
      </c>
      <c r="X179" s="6">
        <v>0</v>
      </c>
      <c r="Y179" s="6">
        <v>0</v>
      </c>
    </row>
    <row r="180" spans="22:25" hidden="1" x14ac:dyDescent="0.3">
      <c r="V180" s="153">
        <v>10000</v>
      </c>
      <c r="W180" s="153">
        <v>10000</v>
      </c>
      <c r="X180" s="6">
        <v>0</v>
      </c>
      <c r="Y180" s="6">
        <v>0</v>
      </c>
    </row>
    <row r="181" spans="22:25" hidden="1" x14ac:dyDescent="0.3">
      <c r="V181" s="153">
        <v>25000</v>
      </c>
      <c r="W181" s="153">
        <v>25000</v>
      </c>
      <c r="X181" s="6">
        <v>0</v>
      </c>
      <c r="Y181" s="6">
        <v>0</v>
      </c>
    </row>
    <row r="182" spans="22:25" hidden="1" x14ac:dyDescent="0.3">
      <c r="V182" s="153">
        <v>70000</v>
      </c>
      <c r="W182" s="153">
        <v>70000</v>
      </c>
      <c r="X182" s="6">
        <v>0</v>
      </c>
      <c r="Y182" s="6">
        <v>0</v>
      </c>
    </row>
    <row r="183" spans="22:25" hidden="1" x14ac:dyDescent="0.3">
      <c r="V183" s="153">
        <v>175000</v>
      </c>
      <c r="W183" s="153">
        <v>213500</v>
      </c>
      <c r="X183" s="153">
        <v>38500</v>
      </c>
      <c r="Y183" s="153">
        <v>115500</v>
      </c>
    </row>
    <row r="184" spans="22:25" hidden="1" x14ac:dyDescent="0.3">
      <c r="V184" s="153">
        <v>5000</v>
      </c>
      <c r="W184" s="153">
        <v>5000</v>
      </c>
      <c r="X184" s="6">
        <v>0</v>
      </c>
      <c r="Y184" s="6">
        <v>0</v>
      </c>
    </row>
    <row r="185" spans="22:25" hidden="1" x14ac:dyDescent="0.3">
      <c r="V185" s="153">
        <f>SUM(V179:V184)</f>
        <v>325000</v>
      </c>
      <c r="W185" s="153">
        <f>SUM(W179:W184)</f>
        <v>363500</v>
      </c>
      <c r="X185" s="6">
        <f>SUM(X179:X184)</f>
        <v>38500</v>
      </c>
      <c r="Y185" s="6">
        <f>SUM(Y179:Y184)</f>
        <v>115500</v>
      </c>
    </row>
    <row r="186" spans="22:25" hidden="1" x14ac:dyDescent="0.3"/>
    <row r="187" spans="22:25" hidden="1" x14ac:dyDescent="0.3"/>
    <row r="188" spans="22:25" hidden="1" x14ac:dyDescent="0.3"/>
    <row r="189" spans="22:25" hidden="1" x14ac:dyDescent="0.3"/>
    <row r="190" spans="22:25" hidden="1" x14ac:dyDescent="0.3"/>
    <row r="191" spans="22:25" hidden="1" x14ac:dyDescent="0.3"/>
    <row r="192" spans="22:25" hidden="1" x14ac:dyDescent="0.3"/>
    <row r="193" hidden="1" x14ac:dyDescent="0.3"/>
    <row r="194" hidden="1" x14ac:dyDescent="0.3"/>
    <row r="195" hidden="1" x14ac:dyDescent="0.3"/>
    <row r="196" hidden="1" x14ac:dyDescent="0.3"/>
    <row r="197" hidden="1" x14ac:dyDescent="0.3"/>
    <row r="198" hidden="1" x14ac:dyDescent="0.3"/>
    <row r="199" hidden="1" x14ac:dyDescent="0.3"/>
    <row r="200" hidden="1" x14ac:dyDescent="0.3"/>
    <row r="201" hidden="1" x14ac:dyDescent="0.3"/>
    <row r="202" hidden="1" x14ac:dyDescent="0.3"/>
    <row r="203" hidden="1" x14ac:dyDescent="0.3"/>
    <row r="204" hidden="1" x14ac:dyDescent="0.3"/>
    <row r="205" hidden="1" x14ac:dyDescent="0.3"/>
    <row r="206" hidden="1" x14ac:dyDescent="0.3"/>
    <row r="207" hidden="1" x14ac:dyDescent="0.3"/>
    <row r="208" hidden="1" x14ac:dyDescent="0.3"/>
    <row r="209" spans="22:25" hidden="1" x14ac:dyDescent="0.3"/>
    <row r="210" spans="22:25" hidden="1" x14ac:dyDescent="0.3"/>
    <row r="211" spans="22:25" hidden="1" x14ac:dyDescent="0.3"/>
    <row r="212" spans="22:25" hidden="1" x14ac:dyDescent="0.3"/>
    <row r="213" spans="22:25" hidden="1" x14ac:dyDescent="0.3">
      <c r="V213" s="153">
        <v>9391</v>
      </c>
      <c r="W213" s="153">
        <v>18782</v>
      </c>
      <c r="X213" s="153">
        <v>28173</v>
      </c>
      <c r="Y213" s="153">
        <v>9391</v>
      </c>
    </row>
    <row r="214" spans="22:25" hidden="1" x14ac:dyDescent="0.3">
      <c r="V214" s="153">
        <v>75000</v>
      </c>
      <c r="W214" s="153">
        <v>150000</v>
      </c>
      <c r="X214" s="153">
        <v>225000</v>
      </c>
      <c r="Y214" s="153">
        <v>75000</v>
      </c>
    </row>
    <row r="215" spans="22:25" hidden="1" x14ac:dyDescent="0.3"/>
    <row r="216" spans="22:25" hidden="1" x14ac:dyDescent="0.3">
      <c r="V216" s="153">
        <v>8400</v>
      </c>
      <c r="W216" s="153">
        <v>16800</v>
      </c>
      <c r="X216" s="153">
        <v>25200</v>
      </c>
      <c r="Y216" s="153">
        <v>8400</v>
      </c>
    </row>
    <row r="217" spans="22:25" hidden="1" x14ac:dyDescent="0.3">
      <c r="V217" s="153">
        <f>SUM(V213:V216)</f>
        <v>92791</v>
      </c>
      <c r="W217" s="153">
        <f>SUM(W213:W216)</f>
        <v>185582</v>
      </c>
      <c r="X217" s="153">
        <f>SUM(X213:X216)</f>
        <v>278373</v>
      </c>
      <c r="Y217" s="153">
        <f>SUM(Y213:Y216)</f>
        <v>92791</v>
      </c>
    </row>
    <row r="218" spans="22:25" hidden="1" x14ac:dyDescent="0.3"/>
    <row r="219" spans="22:25" hidden="1" x14ac:dyDescent="0.3"/>
    <row r="220" spans="22:25" hidden="1" x14ac:dyDescent="0.3"/>
    <row r="221" spans="22:25" hidden="1" x14ac:dyDescent="0.3"/>
    <row r="222" spans="22:25" hidden="1" x14ac:dyDescent="0.3">
      <c r="V222" s="153">
        <v>28173</v>
      </c>
    </row>
    <row r="223" spans="22:25" hidden="1" x14ac:dyDescent="0.3">
      <c r="V223" s="153">
        <v>225000</v>
      </c>
    </row>
    <row r="224" spans="22:25" hidden="1" x14ac:dyDescent="0.3">
      <c r="V224" s="153">
        <v>25200</v>
      </c>
    </row>
    <row r="225" spans="22:22" hidden="1" x14ac:dyDescent="0.3">
      <c r="V225" s="153">
        <f>SUM(V222:V224)</f>
        <v>278373</v>
      </c>
    </row>
    <row r="226" spans="22:22" hidden="1" x14ac:dyDescent="0.3"/>
    <row r="227" spans="22:22" hidden="1" x14ac:dyDescent="0.3"/>
    <row r="228" spans="22:22" hidden="1" x14ac:dyDescent="0.3"/>
    <row r="229" spans="22:22" hidden="1" x14ac:dyDescent="0.3"/>
    <row r="230" spans="22:22" hidden="1" x14ac:dyDescent="0.3"/>
    <row r="231" spans="22:22" hidden="1" x14ac:dyDescent="0.3"/>
    <row r="232" spans="22:22" hidden="1" x14ac:dyDescent="0.3"/>
    <row r="233" spans="22:22" hidden="1" x14ac:dyDescent="0.3"/>
    <row r="234" spans="22:22" hidden="1" x14ac:dyDescent="0.3"/>
    <row r="235" spans="22:22" hidden="1" x14ac:dyDescent="0.3"/>
    <row r="236" spans="22:22" hidden="1" x14ac:dyDescent="0.3"/>
    <row r="237" spans="22:22" hidden="1" x14ac:dyDescent="0.3"/>
    <row r="238" spans="22:22" hidden="1" x14ac:dyDescent="0.3"/>
    <row r="239" spans="22:22" hidden="1" x14ac:dyDescent="0.3"/>
    <row r="240" spans="22:22" hidden="1" x14ac:dyDescent="0.3"/>
    <row r="241" hidden="1" x14ac:dyDescent="0.3"/>
    <row r="242" hidden="1" x14ac:dyDescent="0.3"/>
    <row r="243" hidden="1" x14ac:dyDescent="0.3"/>
    <row r="244" hidden="1" x14ac:dyDescent="0.3"/>
    <row r="245" hidden="1" x14ac:dyDescent="0.3"/>
    <row r="246" hidden="1" x14ac:dyDescent="0.3"/>
    <row r="247" hidden="1" x14ac:dyDescent="0.3"/>
    <row r="248" hidden="1" x14ac:dyDescent="0.3"/>
    <row r="249" hidden="1" x14ac:dyDescent="0.3"/>
    <row r="250" hidden="1" x14ac:dyDescent="0.3"/>
    <row r="251" hidden="1" x14ac:dyDescent="0.3"/>
    <row r="252" hidden="1" x14ac:dyDescent="0.3"/>
    <row r="253" hidden="1" x14ac:dyDescent="0.3"/>
    <row r="254" hidden="1" x14ac:dyDescent="0.3"/>
    <row r="255" hidden="1" x14ac:dyDescent="0.3"/>
    <row r="256" hidden="1" x14ac:dyDescent="0.3"/>
    <row r="257" hidden="1" x14ac:dyDescent="0.3"/>
    <row r="258" hidden="1" x14ac:dyDescent="0.3"/>
    <row r="259" hidden="1" x14ac:dyDescent="0.3"/>
    <row r="260" hidden="1" x14ac:dyDescent="0.3"/>
    <row r="261" hidden="1" x14ac:dyDescent="0.3"/>
    <row r="262" hidden="1" x14ac:dyDescent="0.3"/>
    <row r="263" hidden="1" x14ac:dyDescent="0.3"/>
    <row r="264" hidden="1" x14ac:dyDescent="0.3"/>
    <row r="265" hidden="1" x14ac:dyDescent="0.3"/>
    <row r="266" hidden="1" x14ac:dyDescent="0.3"/>
    <row r="267" hidden="1" x14ac:dyDescent="0.3"/>
    <row r="268" hidden="1" x14ac:dyDescent="0.3"/>
    <row r="269" hidden="1" x14ac:dyDescent="0.3"/>
    <row r="270" hidden="1" x14ac:dyDescent="0.3"/>
    <row r="271" hidden="1" x14ac:dyDescent="0.3"/>
    <row r="272" hidden="1" x14ac:dyDescent="0.3"/>
    <row r="273" hidden="1" x14ac:dyDescent="0.3"/>
    <row r="274" hidden="1" x14ac:dyDescent="0.3"/>
    <row r="275" hidden="1" x14ac:dyDescent="0.3"/>
    <row r="276" hidden="1" x14ac:dyDescent="0.3"/>
    <row r="277" hidden="1" x14ac:dyDescent="0.3"/>
    <row r="278" hidden="1" x14ac:dyDescent="0.3"/>
    <row r="279" hidden="1" x14ac:dyDescent="0.3"/>
    <row r="280" hidden="1" x14ac:dyDescent="0.3"/>
    <row r="281" hidden="1" x14ac:dyDescent="0.3"/>
    <row r="282" hidden="1" x14ac:dyDescent="0.3"/>
    <row r="283" hidden="1" x14ac:dyDescent="0.3"/>
    <row r="284" hidden="1" x14ac:dyDescent="0.3"/>
    <row r="285" hidden="1" x14ac:dyDescent="0.3"/>
    <row r="286" hidden="1" x14ac:dyDescent="0.3"/>
    <row r="287" hidden="1" x14ac:dyDescent="0.3"/>
    <row r="288" hidden="1" x14ac:dyDescent="0.3"/>
    <row r="289" spans="18:26" hidden="1" x14ac:dyDescent="0.3"/>
    <row r="290" spans="18:26" hidden="1" x14ac:dyDescent="0.3"/>
    <row r="291" spans="18:26" hidden="1" x14ac:dyDescent="0.3"/>
    <row r="292" spans="18:26" hidden="1" x14ac:dyDescent="0.3"/>
    <row r="293" spans="18:26" hidden="1" x14ac:dyDescent="0.3"/>
    <row r="294" spans="18:26" hidden="1" x14ac:dyDescent="0.3"/>
    <row r="295" spans="18:26" hidden="1" x14ac:dyDescent="0.3"/>
    <row r="296" spans="18:26" hidden="1" x14ac:dyDescent="0.3"/>
    <row r="297" spans="18:26" hidden="1" x14ac:dyDescent="0.3"/>
    <row r="298" spans="18:26" hidden="1" x14ac:dyDescent="0.3"/>
    <row r="299" spans="18:26" hidden="1" x14ac:dyDescent="0.3"/>
    <row r="300" spans="18:26" hidden="1" x14ac:dyDescent="0.3"/>
    <row r="301" spans="18:26" hidden="1" x14ac:dyDescent="0.3"/>
    <row r="302" spans="18:26" x14ac:dyDescent="0.3">
      <c r="R302" s="73"/>
      <c r="S302" s="4"/>
      <c r="T302" s="4"/>
      <c r="U302" s="4"/>
      <c r="V302" s="4"/>
      <c r="W302" s="4"/>
      <c r="X302" s="4"/>
      <c r="Y302" s="4"/>
      <c r="Z302" s="4"/>
    </row>
    <row r="303" spans="18:26" x14ac:dyDescent="0.3">
      <c r="R303" s="73"/>
      <c r="S303" s="166"/>
      <c r="T303" s="4"/>
      <c r="U303" s="4"/>
      <c r="V303" s="4"/>
      <c r="W303" s="4"/>
      <c r="X303" s="4"/>
      <c r="Y303" s="4"/>
      <c r="Z303" s="4"/>
    </row>
    <row r="304" spans="18:26" x14ac:dyDescent="0.3">
      <c r="R304" s="73"/>
      <c r="S304" s="166"/>
      <c r="T304" s="4"/>
      <c r="U304" s="4"/>
      <c r="V304" s="167"/>
      <c r="W304" s="167"/>
      <c r="X304" s="4"/>
      <c r="Y304" s="168"/>
      <c r="Z304" s="4"/>
    </row>
    <row r="305" spans="18:26" x14ac:dyDescent="0.3">
      <c r="R305" s="73"/>
      <c r="S305" s="166"/>
      <c r="T305" s="4"/>
      <c r="U305" s="4"/>
      <c r="V305" s="167"/>
      <c r="W305" s="167"/>
      <c r="X305" s="4"/>
      <c r="Y305" s="4"/>
      <c r="Z305" s="4"/>
    </row>
    <row r="306" spans="18:26" x14ac:dyDescent="0.3">
      <c r="R306" s="73"/>
      <c r="S306" s="166"/>
      <c r="T306" s="4"/>
      <c r="U306" s="4"/>
      <c r="V306" s="167"/>
      <c r="W306" s="167"/>
      <c r="X306" s="4"/>
      <c r="Y306" s="4"/>
      <c r="Z306" s="4"/>
    </row>
    <row r="307" spans="18:26" x14ac:dyDescent="0.3">
      <c r="R307" s="73"/>
      <c r="S307" s="169"/>
      <c r="T307" s="4"/>
      <c r="U307" s="4"/>
      <c r="V307" s="4"/>
      <c r="W307" s="4"/>
      <c r="X307" s="4"/>
      <c r="Y307" s="4"/>
      <c r="Z307" s="4"/>
    </row>
    <row r="308" spans="18:26" x14ac:dyDescent="0.3">
      <c r="R308" s="73"/>
      <c r="S308" s="166"/>
      <c r="T308" s="4"/>
      <c r="U308" s="4"/>
      <c r="V308" s="4"/>
      <c r="W308" s="4"/>
      <c r="X308" s="4"/>
      <c r="Y308" s="4"/>
      <c r="Z308" s="4"/>
    </row>
    <row r="309" spans="18:26" x14ac:dyDescent="0.3">
      <c r="R309" s="73"/>
      <c r="S309" s="170"/>
      <c r="T309" s="4"/>
      <c r="U309" s="4"/>
      <c r="V309" s="4"/>
      <c r="W309" s="4"/>
      <c r="X309" s="4"/>
      <c r="Y309" s="4"/>
      <c r="Z309" s="4"/>
    </row>
    <row r="310" spans="18:26" x14ac:dyDescent="0.3">
      <c r="R310" s="73"/>
      <c r="S310" s="166"/>
      <c r="T310" s="4"/>
      <c r="U310" s="4"/>
      <c r="V310" s="4"/>
      <c r="W310" s="4"/>
      <c r="X310" s="4"/>
      <c r="Y310" s="4"/>
      <c r="Z310" s="4"/>
    </row>
    <row r="311" spans="18:26" x14ac:dyDescent="0.3">
      <c r="R311" s="73"/>
      <c r="S311" s="166"/>
      <c r="T311" s="4"/>
      <c r="U311" s="4"/>
      <c r="V311" s="4"/>
      <c r="W311" s="167"/>
      <c r="X311" s="4"/>
      <c r="Y311" s="4"/>
      <c r="Z311" s="4"/>
    </row>
    <row r="312" spans="18:26" x14ac:dyDescent="0.3">
      <c r="R312" s="73"/>
      <c r="S312" s="166"/>
      <c r="T312" s="4"/>
      <c r="U312" s="4"/>
      <c r="V312" s="4"/>
      <c r="W312" s="167"/>
      <c r="X312" s="4"/>
      <c r="Y312" s="4"/>
      <c r="Z312" s="4"/>
    </row>
    <row r="313" spans="18:26" x14ac:dyDescent="0.3">
      <c r="R313" s="73"/>
      <c r="S313" s="170"/>
      <c r="T313" s="4"/>
      <c r="U313" s="4"/>
      <c r="V313" s="4"/>
      <c r="W313" s="4"/>
      <c r="X313" s="4"/>
      <c r="Y313" s="4"/>
      <c r="Z313" s="4"/>
    </row>
    <row r="314" spans="18:26" x14ac:dyDescent="0.3">
      <c r="R314" s="73"/>
      <c r="S314" s="4"/>
      <c r="T314" s="4"/>
      <c r="U314" s="4"/>
      <c r="V314" s="4"/>
      <c r="W314" s="4"/>
      <c r="X314" s="4"/>
      <c r="Y314" s="4"/>
      <c r="Z314" s="4"/>
    </row>
    <row r="315" spans="18:26" x14ac:dyDescent="0.3">
      <c r="R315" s="73"/>
      <c r="S315" s="4"/>
      <c r="T315" s="4"/>
      <c r="U315" s="4"/>
      <c r="V315" s="4"/>
      <c r="W315" s="4"/>
      <c r="X315" s="4"/>
      <c r="Y315" s="4"/>
      <c r="Z315" s="4"/>
    </row>
    <row r="316" spans="18:26" x14ac:dyDescent="0.3">
      <c r="R316" s="73"/>
      <c r="S316" s="4"/>
      <c r="T316" s="4"/>
      <c r="U316" s="4"/>
      <c r="V316" s="4"/>
      <c r="W316" s="4"/>
      <c r="X316" s="4"/>
      <c r="Y316" s="4"/>
      <c r="Z316" s="4"/>
    </row>
    <row r="317" spans="18:26" x14ac:dyDescent="0.3">
      <c r="R317" s="73"/>
      <c r="S317" s="4"/>
      <c r="T317" s="4"/>
      <c r="U317" s="4"/>
      <c r="V317" s="4"/>
      <c r="W317" s="4"/>
      <c r="X317" s="4"/>
      <c r="Y317" s="4"/>
      <c r="Z317" s="4"/>
    </row>
    <row r="318" spans="18:26" x14ac:dyDescent="0.3">
      <c r="R318" s="73"/>
      <c r="S318" s="4"/>
      <c r="T318" s="4"/>
      <c r="U318" s="4"/>
      <c r="V318" s="4"/>
      <c r="W318" s="4"/>
      <c r="X318" s="4"/>
      <c r="Y318" s="4"/>
      <c r="Z318" s="4"/>
    </row>
    <row r="319" spans="18:26" x14ac:dyDescent="0.3">
      <c r="R319" s="73"/>
      <c r="S319" s="4"/>
      <c r="T319" s="4"/>
      <c r="U319" s="4"/>
      <c r="V319" s="4"/>
      <c r="W319" s="4"/>
      <c r="X319" s="4"/>
      <c r="Y319" s="4"/>
      <c r="Z319" s="4"/>
    </row>
    <row r="320" spans="18:26" x14ac:dyDescent="0.3">
      <c r="R320" s="73"/>
      <c r="S320" s="4"/>
      <c r="T320" s="4"/>
      <c r="U320" s="4"/>
      <c r="V320" s="4"/>
      <c r="W320" s="4"/>
      <c r="X320" s="4"/>
      <c r="Y320" s="4"/>
      <c r="Z320" s="4"/>
    </row>
    <row r="321" spans="18:26" x14ac:dyDescent="0.3">
      <c r="R321" s="73"/>
      <c r="S321" s="4"/>
      <c r="T321" s="4"/>
      <c r="U321" s="4"/>
      <c r="V321" s="4"/>
      <c r="W321" s="4"/>
      <c r="X321" s="4"/>
      <c r="Y321" s="4"/>
      <c r="Z321" s="4"/>
    </row>
    <row r="322" spans="18:26" x14ac:dyDescent="0.3">
      <c r="R322" s="73"/>
      <c r="S322" s="4"/>
      <c r="T322" s="4"/>
      <c r="U322" s="4"/>
      <c r="V322" s="4"/>
      <c r="W322" s="4"/>
      <c r="X322" s="4"/>
      <c r="Y322" s="4"/>
      <c r="Z322" s="4"/>
    </row>
    <row r="323" spans="18:26" x14ac:dyDescent="0.3">
      <c r="R323" s="73"/>
      <c r="S323" s="4"/>
      <c r="T323" s="4"/>
      <c r="U323" s="4"/>
      <c r="V323" s="4"/>
      <c r="W323" s="4"/>
      <c r="X323" s="4"/>
      <c r="Y323" s="4"/>
      <c r="Z323" s="4"/>
    </row>
    <row r="324" spans="18:26" x14ac:dyDescent="0.3">
      <c r="R324" s="73"/>
      <c r="S324" s="4"/>
      <c r="T324" s="4"/>
      <c r="U324" s="4"/>
      <c r="V324" s="4"/>
      <c r="W324" s="4"/>
      <c r="X324" s="4"/>
      <c r="Y324" s="4"/>
      <c r="Z324" s="4"/>
    </row>
    <row r="325" spans="18:26" x14ac:dyDescent="0.3">
      <c r="R325" s="73"/>
      <c r="S325" s="4"/>
      <c r="T325" s="4"/>
      <c r="U325" s="4"/>
      <c r="V325" s="4"/>
      <c r="W325" s="4"/>
      <c r="X325" s="4"/>
      <c r="Y325" s="4"/>
      <c r="Z325" s="4"/>
    </row>
    <row r="326" spans="18:26" x14ac:dyDescent="0.3">
      <c r="R326" s="73"/>
      <c r="S326" s="4"/>
      <c r="T326" s="4"/>
      <c r="U326" s="4"/>
      <c r="V326" s="4"/>
      <c r="W326" s="4"/>
      <c r="X326" s="4"/>
      <c r="Y326" s="4"/>
      <c r="Z326" s="4"/>
    </row>
    <row r="327" spans="18:26" x14ac:dyDescent="0.3">
      <c r="R327" s="73"/>
      <c r="S327" s="4"/>
      <c r="T327" s="4"/>
      <c r="U327" s="4"/>
      <c r="V327" s="4"/>
      <c r="W327" s="4"/>
      <c r="X327" s="4"/>
      <c r="Y327" s="4"/>
      <c r="Z327" s="4"/>
    </row>
    <row r="328" spans="18:26" x14ac:dyDescent="0.3">
      <c r="R328" s="73"/>
      <c r="S328" s="4"/>
      <c r="T328" s="4"/>
      <c r="U328" s="4"/>
      <c r="V328" s="4"/>
      <c r="W328" s="4"/>
      <c r="X328" s="4"/>
      <c r="Y328" s="4"/>
      <c r="Z328" s="4"/>
    </row>
    <row r="329" spans="18:26" x14ac:dyDescent="0.3">
      <c r="R329" s="73"/>
      <c r="S329" s="4"/>
      <c r="T329" s="4"/>
      <c r="U329" s="4"/>
      <c r="V329" s="4"/>
      <c r="W329" s="4"/>
      <c r="X329" s="4"/>
      <c r="Y329" s="4"/>
      <c r="Z329" s="4"/>
    </row>
    <row r="330" spans="18:26" x14ac:dyDescent="0.3">
      <c r="R330" s="73"/>
      <c r="S330" s="4"/>
      <c r="T330" s="4"/>
      <c r="U330" s="4"/>
      <c r="V330" s="4"/>
      <c r="W330" s="4"/>
      <c r="X330" s="4"/>
      <c r="Y330" s="4"/>
      <c r="Z330" s="4"/>
    </row>
    <row r="331" spans="18:26" x14ac:dyDescent="0.3">
      <c r="R331" s="73"/>
      <c r="S331" s="4"/>
      <c r="T331" s="4"/>
      <c r="U331" s="4"/>
      <c r="V331" s="4"/>
      <c r="W331" s="4"/>
      <c r="X331" s="4"/>
      <c r="Y331" s="4"/>
      <c r="Z331" s="4"/>
    </row>
    <row r="332" spans="18:26" x14ac:dyDescent="0.3">
      <c r="R332" s="73"/>
      <c r="S332" s="4"/>
      <c r="T332" s="4"/>
      <c r="U332" s="4"/>
      <c r="V332" s="4"/>
      <c r="W332" s="4"/>
      <c r="X332" s="4"/>
      <c r="Y332" s="4"/>
      <c r="Z332" s="4"/>
    </row>
    <row r="333" spans="18:26" x14ac:dyDescent="0.3">
      <c r="R333" s="73"/>
      <c r="S333" s="4"/>
      <c r="T333" s="4"/>
      <c r="U333" s="167"/>
      <c r="V333" s="4"/>
      <c r="W333" s="4"/>
      <c r="X333" s="4"/>
      <c r="Y333" s="4"/>
      <c r="Z333" s="4"/>
    </row>
    <row r="334" spans="18:26" x14ac:dyDescent="0.3">
      <c r="R334" s="73"/>
      <c r="S334" s="4"/>
      <c r="T334" s="4"/>
      <c r="U334" s="4"/>
      <c r="V334" s="4"/>
      <c r="W334" s="4"/>
      <c r="X334" s="4"/>
      <c r="Y334" s="4"/>
      <c r="Z334" s="4"/>
    </row>
    <row r="335" spans="18:26" x14ac:dyDescent="0.3">
      <c r="R335" s="73"/>
      <c r="S335" s="4"/>
      <c r="T335" s="4"/>
      <c r="U335" s="4"/>
      <c r="V335" s="4"/>
      <c r="W335" s="4"/>
      <c r="X335" s="4"/>
      <c r="Y335" s="4"/>
      <c r="Z335" s="4"/>
    </row>
    <row r="336" spans="18:26" x14ac:dyDescent="0.3">
      <c r="R336" s="73"/>
      <c r="S336" s="4"/>
      <c r="T336" s="4"/>
      <c r="U336" s="4"/>
      <c r="V336" s="4"/>
      <c r="W336" s="4"/>
      <c r="X336" s="4"/>
      <c r="Y336" s="4"/>
      <c r="Z336" s="4"/>
    </row>
    <row r="337" spans="18:26" x14ac:dyDescent="0.3">
      <c r="R337" s="73"/>
      <c r="S337" s="4"/>
      <c r="T337" s="4"/>
      <c r="U337" s="4"/>
      <c r="V337" s="4"/>
      <c r="W337" s="4"/>
      <c r="X337" s="4"/>
      <c r="Y337" s="4"/>
      <c r="Z337" s="4"/>
    </row>
    <row r="338" spans="18:26" x14ac:dyDescent="0.3">
      <c r="R338" s="73"/>
      <c r="S338" s="4"/>
      <c r="T338" s="4"/>
      <c r="U338" s="4"/>
      <c r="V338" s="4"/>
      <c r="W338" s="4"/>
      <c r="X338" s="4"/>
      <c r="Y338" s="4"/>
      <c r="Z338" s="4"/>
    </row>
    <row r="339" spans="18:26" x14ac:dyDescent="0.3">
      <c r="R339" s="73"/>
      <c r="S339" s="4"/>
      <c r="T339" s="4"/>
      <c r="U339" s="167"/>
      <c r="V339" s="4"/>
      <c r="W339" s="4"/>
      <c r="X339" s="4"/>
      <c r="Y339" s="4"/>
      <c r="Z339" s="4"/>
    </row>
    <row r="340" spans="18:26" x14ac:dyDescent="0.3">
      <c r="R340" s="73"/>
      <c r="S340" s="4"/>
      <c r="T340" s="4"/>
      <c r="U340" s="4"/>
      <c r="V340" s="4"/>
      <c r="W340" s="4"/>
      <c r="X340" s="4"/>
      <c r="Y340" s="4"/>
      <c r="Z340" s="4"/>
    </row>
    <row r="341" spans="18:26" x14ac:dyDescent="0.3">
      <c r="R341" s="73"/>
      <c r="S341" s="4"/>
      <c r="T341" s="4"/>
      <c r="U341" s="4"/>
      <c r="V341" s="4"/>
      <c r="W341" s="4"/>
      <c r="X341" s="4"/>
      <c r="Y341" s="4"/>
      <c r="Z341" s="4"/>
    </row>
    <row r="342" spans="18:26" x14ac:dyDescent="0.3">
      <c r="R342" s="73"/>
      <c r="S342" s="4"/>
      <c r="T342" s="4"/>
      <c r="U342" s="4"/>
      <c r="V342" s="4"/>
      <c r="W342" s="4"/>
      <c r="X342" s="4"/>
      <c r="Y342" s="4"/>
      <c r="Z342" s="4"/>
    </row>
    <row r="343" spans="18:26" x14ac:dyDescent="0.3">
      <c r="R343" s="73"/>
      <c r="S343" s="4"/>
      <c r="T343" s="4"/>
      <c r="U343" s="4"/>
      <c r="V343" s="4"/>
      <c r="W343" s="4"/>
      <c r="X343" s="4"/>
      <c r="Y343" s="4"/>
      <c r="Z343" s="4"/>
    </row>
    <row r="344" spans="18:26" x14ac:dyDescent="0.3">
      <c r="R344" s="73"/>
      <c r="S344" s="4"/>
      <c r="T344" s="4"/>
      <c r="U344" s="4"/>
      <c r="V344" s="4"/>
      <c r="W344" s="4"/>
      <c r="X344" s="4"/>
      <c r="Y344" s="4"/>
      <c r="Z344" s="4"/>
    </row>
    <row r="345" spans="18:26" x14ac:dyDescent="0.3">
      <c r="R345" s="73"/>
      <c r="S345" s="4"/>
      <c r="T345" s="4"/>
      <c r="U345" s="4"/>
      <c r="V345" s="4"/>
      <c r="W345" s="4"/>
      <c r="X345" s="4"/>
      <c r="Y345" s="4"/>
      <c r="Z345" s="4"/>
    </row>
    <row r="346" spans="18:26" x14ac:dyDescent="0.3">
      <c r="R346" s="73"/>
      <c r="S346" s="4"/>
      <c r="T346" s="4"/>
      <c r="U346" s="4"/>
      <c r="V346" s="4"/>
      <c r="W346" s="4"/>
      <c r="X346" s="4"/>
      <c r="Y346" s="4"/>
      <c r="Z346" s="4"/>
    </row>
    <row r="347" spans="18:26" x14ac:dyDescent="0.3">
      <c r="R347" s="73"/>
      <c r="S347" s="4"/>
      <c r="T347" s="4"/>
      <c r="U347" s="4"/>
      <c r="V347" s="4"/>
      <c r="W347" s="4"/>
      <c r="X347" s="4"/>
      <c r="Y347" s="4"/>
      <c r="Z347" s="4"/>
    </row>
    <row r="348" spans="18:26" x14ac:dyDescent="0.3">
      <c r="R348" s="73"/>
      <c r="S348" s="4"/>
      <c r="T348" s="4"/>
      <c r="U348" s="4"/>
      <c r="V348" s="4"/>
      <c r="W348" s="4"/>
      <c r="X348" s="4"/>
      <c r="Y348" s="4"/>
      <c r="Z348" s="4"/>
    </row>
    <row r="349" spans="18:26" x14ac:dyDescent="0.3">
      <c r="R349" s="73"/>
      <c r="S349" s="4"/>
      <c r="T349" s="4"/>
      <c r="U349" s="4"/>
      <c r="V349" s="4"/>
      <c r="W349" s="4"/>
      <c r="X349" s="4"/>
      <c r="Y349" s="4"/>
      <c r="Z349" s="4"/>
    </row>
    <row r="350" spans="18:26" x14ac:dyDescent="0.3">
      <c r="R350" s="73"/>
      <c r="S350" s="4"/>
      <c r="T350" s="4"/>
      <c r="U350" s="4"/>
      <c r="V350" s="4"/>
      <c r="W350" s="4"/>
      <c r="X350" s="4"/>
      <c r="Y350" s="4"/>
      <c r="Z350" s="4"/>
    </row>
  </sheetData>
  <customSheetViews>
    <customSheetView guid="{266E5F35-F9B4-4BB5-8B70-8AEB574E8C1B}" scale="70" showPageBreaks="1" printArea="1" hiddenColumns="1" view="pageBreakPreview">
      <selection activeCell="A4" sqref="A4:AF4"/>
      <rowBreaks count="2" manualBreakCount="2">
        <brk id="55" max="16383" man="1"/>
        <brk id="94" max="16383" man="1"/>
      </rowBreaks>
      <pageMargins left="0.15748031496062992" right="0.19685039370078741" top="0" bottom="0" header="0.21" footer="0.21"/>
      <printOptions horizontalCentered="1"/>
      <pageSetup scale="50" fitToHeight="0" orientation="landscape" blackAndWhite="1" r:id="rId1"/>
      <headerFooter alignWithMargins="0"/>
    </customSheetView>
    <customSheetView guid="{3A3ACD92-4BE4-4AF5-B44B-172D609FF364}" scale="75" showPageBreaks="1" printArea="1" hiddenColumns="1" view="pageBreakPreview">
      <selection activeCell="C42" sqref="C42"/>
      <rowBreaks count="2" manualBreakCount="2">
        <brk id="55" max="34" man="1"/>
        <brk id="96" max="34" man="1"/>
      </rowBreaks>
      <pageMargins left="0.70866141732283472" right="0.70866141732283472" top="0.55118110236220474" bottom="2.3228346456692917" header="0.31496062992125984" footer="0.31496062992125984"/>
      <printOptions horizontalCentered="1"/>
      <pageSetup scale="55" fitToHeight="0" orientation="portrait" blackAndWhite="1" r:id="rId2"/>
      <headerFooter alignWithMargins="0"/>
    </customSheetView>
    <customSheetView guid="{4D2EAD97-02B0-4E92-BD2A-3B6E8A26CA89}" scale="75" showPageBreaks="1" printArea="1" hiddenColumns="1" view="pageBreakPreview" topLeftCell="A88">
      <selection activeCell="C89" sqref="C89"/>
      <rowBreaks count="2" manualBreakCount="2">
        <brk id="55" max="34" man="1"/>
        <brk id="96" max="34" man="1"/>
      </rowBreaks>
      <pageMargins left="0.70866141732283472" right="0.70866141732283472" top="0.55118110236220474" bottom="2.3228346456692917" header="0.31496062992125984" footer="0.31496062992125984"/>
      <printOptions horizontalCentered="1"/>
      <pageSetup scale="55" fitToHeight="0" orientation="portrait" blackAndWhite="1" r:id="rId3"/>
      <headerFooter alignWithMargins="0"/>
    </customSheetView>
    <customSheetView guid="{AB5A6890-4B2C-4F1B-AA28-3B0FC3CC14E0}" scale="80" showPageBreaks="1" printArea="1" hiddenColumns="1" view="pageBreakPreview" topLeftCell="A118">
      <selection activeCell="AD104" sqref="AD104"/>
      <rowBreaks count="2" manualBreakCount="2">
        <brk id="54" max="29" man="1"/>
        <brk id="94" max="29" man="1"/>
      </rowBreaks>
      <pageMargins left="0.70866141732283472" right="0.70866141732283472" top="0.55118110236220474" bottom="2.3228346456692917" header="0.31496062992125984" footer="0.31496062992125984"/>
      <printOptions horizontalCentered="1"/>
      <pageSetup scale="53" fitToHeight="0" orientation="portrait" blackAndWhite="1" r:id="rId4"/>
      <headerFooter alignWithMargins="0"/>
    </customSheetView>
    <customSheetView guid="{6A890FF5-51FC-43A8-BB60-440D42174E94}" scale="80" showPageBreaks="1" printArea="1" hiddenColumns="1" view="pageBreakPreview">
      <selection activeCell="X15" sqref="X15"/>
      <rowBreaks count="2" manualBreakCount="2">
        <brk id="55" max="34" man="1"/>
        <brk id="95" max="34" man="1"/>
      </rowBreaks>
      <pageMargins left="0.70866141732283472" right="0.70866141732283472" top="0.55118110236220474" bottom="2.3228346456692917" header="0.31496062992125984" footer="0.31496062992125984"/>
      <printOptions horizontalCentered="1"/>
      <pageSetup scale="55" fitToHeight="0" orientation="portrait" blackAndWhite="1" r:id="rId5"/>
      <headerFooter alignWithMargins="0"/>
    </customSheetView>
    <customSheetView guid="{9E85A010-A679-47B1-9621-9C31884E92E9}" scale="75" showPageBreaks="1" fitToPage="1" printArea="1" hiddenColumns="1" view="pageBreakPreview" topLeftCell="B24">
      <selection activeCell="B1" sqref="A1:AN134"/>
      <rowBreaks count="2" manualBreakCount="2">
        <brk id="57" max="16383" man="1"/>
        <brk id="98" max="16383" man="1"/>
      </rowBreaks>
      <pageMargins left="0" right="0" top="0" bottom="0" header="0.31496062992125984" footer="0.31496062992125984"/>
      <printOptions horizontalCentered="1"/>
      <pageSetup scale="48" fitToHeight="0" orientation="landscape" blackAndWhite="1" r:id="rId6"/>
      <headerFooter alignWithMargins="0"/>
    </customSheetView>
  </customSheetViews>
  <mergeCells count="8">
    <mergeCell ref="AA150:AC150"/>
    <mergeCell ref="A7:AA7"/>
    <mergeCell ref="A6:AA6"/>
    <mergeCell ref="M65:AA65"/>
    <mergeCell ref="A67:B67"/>
    <mergeCell ref="A65:C65"/>
    <mergeCell ref="A66:C66"/>
    <mergeCell ref="A133:AA133"/>
  </mergeCells>
  <phoneticPr fontId="0" type="noConversion"/>
  <printOptions horizontalCentered="1"/>
  <pageMargins left="0" right="0" top="0" bottom="0" header="0.35433070866141736" footer="0"/>
  <pageSetup scale="35" fitToHeight="3" orientation="landscape" blackAndWhite="1" r:id="rId7"/>
  <headerFooter alignWithMargins="0"/>
  <rowBreaks count="1" manualBreakCount="1">
    <brk id="6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09F5B17BF82F4083D32896D3516BC1" ma:contentTypeVersion="5" ma:contentTypeDescription="Create a new document." ma:contentTypeScope="" ma:versionID="9f63a1ae771723600515f0cbb06b691e">
  <xsd:schema xmlns:xsd="http://www.w3.org/2001/XMLSchema" xmlns:p="http://schemas.microsoft.com/office/2006/metadata/properties" xmlns:ns2="6b03d5a6-c642-4a08-93b6-965b66bfac2e" xmlns:ns3="64e33b30-101d-41de-b951-961aab25ea29" xmlns:ns4="c784fa88-afe8-45ea-98cb-6e454791397f" targetNamespace="http://schemas.microsoft.com/office/2006/metadata/properties" ma:root="true" ma:fieldsID="f8fc196be62d1ae30cc7684257f0f14d" ns2:_="" ns3:_="" ns4:_="">
    <xsd:import namespace="6b03d5a6-c642-4a08-93b6-965b66bfac2e"/>
    <xsd:import namespace="64e33b30-101d-41de-b951-961aab25ea29"/>
    <xsd:import namespace="c784fa88-afe8-45ea-98cb-6e454791397f"/>
    <xsd:element name="properties">
      <xsd:complexType>
        <xsd:sequence>
          <xsd:element name="documentManagement">
            <xsd:complexType>
              <xsd:all>
                <xsd:element ref="ns2:Document_x0020_Number" minOccurs="0"/>
                <xsd:element ref="ns3:DocumentType" minOccurs="0"/>
                <xsd:element ref="ns4:Forma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6b03d5a6-c642-4a08-93b6-965b66bfac2e" elementFormDefault="qualified">
    <xsd:import namespace="http://schemas.microsoft.com/office/2006/documentManagement/types"/>
    <xsd:element name="Document_x0020_Number" ma:index="8" nillable="true" ma:displayName="Document Number" ma:default="UNEP/OzL.Pro/ExCom/77/" ma:internalName="Document_x0020_Number">
      <xsd:simpleType>
        <xsd:restriction base="dms:Text">
          <xsd:maxLength value="255"/>
        </xsd:restriction>
      </xsd:simpleType>
    </xsd:element>
  </xsd:schema>
  <xsd:schema xmlns:xsd="http://www.w3.org/2001/XMLSchema" xmlns:dms="http://schemas.microsoft.com/office/2006/documentManagement/types" targetNamespace="64e33b30-101d-41de-b951-961aab25ea29" elementFormDefault="qualified">
    <xsd:import namespace="http://schemas.microsoft.com/office/2006/documentManagement/types"/>
    <xsd:element name="DocumentType" ma:index="9" nillable="true" ma:displayName="DocumentType" ma:default="Pre-session" ma:format="Dropdown" ma:internalName="DocumentType">
      <xsd:simpleType>
        <xsd:restriction base="dms:Choice">
          <xsd:enumeration value="Pre-session"/>
          <xsd:enumeration value="In-session"/>
          <xsd:enumeration value="Final report"/>
          <xsd:enumeration value="Information Note"/>
          <xsd:enumeration value="Information Document"/>
        </xsd:restriction>
      </xsd:simpleType>
    </xsd:element>
  </xsd:schema>
  <xsd:schema xmlns:xsd="http://www.w3.org/2001/XMLSchema" xmlns:dms="http://schemas.microsoft.com/office/2006/documentManagement/types" targetNamespace="c784fa88-afe8-45ea-98cb-6e454791397f" elementFormDefault="qualified">
    <xsd:import namespace="http://schemas.microsoft.com/office/2006/documentManagement/types"/>
    <xsd:element name="Format" ma:index="10" nillable="true" ma:displayName="Format" ma:default="Word" ma:format="Dropdown" ma:internalName="Format">
      <xsd:simpleType>
        <xsd:restriction base="dms:Choice">
          <xsd:enumeration value="Word"/>
          <xsd:enumeration value="PDF"/>
          <xsd:enumeration value="Excel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ument_x0020_Number xmlns="6b03d5a6-c642-4a08-93b6-965b66bfac2e">UNEP/OzL.Pro/ExCom/76/74</Document_x0020_Number>
    <Format xmlns="c784fa88-afe8-45ea-98cb-6e454791397f">Excel</Format>
    <DocumentType xmlns="64e33b30-101d-41de-b951-961aab25ea29">Pre-session</DocumentType>
  </documentManagement>
</p:properties>
</file>

<file path=customXml/itemProps1.xml><?xml version="1.0" encoding="utf-8"?>
<ds:datastoreItem xmlns:ds="http://schemas.openxmlformats.org/officeDocument/2006/customXml" ds:itemID="{F5E5760E-3310-4260-95F9-2E6701610B41}"/>
</file>

<file path=customXml/itemProps2.xml><?xml version="1.0" encoding="utf-8"?>
<ds:datastoreItem xmlns:ds="http://schemas.openxmlformats.org/officeDocument/2006/customXml" ds:itemID="{38FD12E6-5A18-4700-B233-5C6ADD8D76A9}"/>
</file>

<file path=customXml/itemProps3.xml><?xml version="1.0" encoding="utf-8"?>
<ds:datastoreItem xmlns:ds="http://schemas.openxmlformats.org/officeDocument/2006/customXml" ds:itemID="{D546F97E-902A-4091-8321-557D28B36B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Annex I</vt:lpstr>
      <vt:lpstr>'Annex I'!Print_Area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Approved 2015, 2016, 2017 and 2018, and proposed 2019 budgets of the Fund Secretariat (part 2)</dc:title>
  <dc:creator>UNMFS</dc:creator>
  <cp:lastModifiedBy>Grace Nyoike</cp:lastModifiedBy>
  <cp:lastPrinted>2016-11-11T22:30:51Z</cp:lastPrinted>
  <dcterms:created xsi:type="dcterms:W3CDTF">1998-10-02T21:40:05Z</dcterms:created>
  <dcterms:modified xsi:type="dcterms:W3CDTF">2016-11-11T22:37:24Z</dcterms:modified>
  <cp:contentType>Document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0x010100F409F5B17BF82F4083D32896D3516BC1</vt:lpwstr>
  </property>
</Properties>
</file>